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 SMC files\Bio4250 - Evolutionary Genetics\"/>
    </mc:Choice>
  </mc:AlternateContent>
  <xr:revisionPtr revIDLastSave="0" documentId="8_{E7718ECE-60B2-4D70-986C-05B49A51C451}" xr6:coauthVersionLast="47" xr6:coauthVersionMax="47" xr10:uidLastSave="{00000000-0000-0000-0000-000000000000}"/>
  <bookViews>
    <workbookView xWindow="-120" yWindow="-120" windowWidth="29040" windowHeight="15840" tabRatio="856" activeTab="7" xr2:uid="{B9C8EC2E-F016-44A4-B7D2-7DB0F73D0BFC}"/>
  </bookViews>
  <sheets>
    <sheet name="X^2 power" sheetId="2" r:id="rId1"/>
    <sheet name="X^2 vs G" sheetId="59" r:id="rId2"/>
    <sheet name="Chi-square MN data" sheetId="47" r:id="rId3"/>
    <sheet name="(1) Philipine MN data" sheetId="54" r:id="rId4"/>
    <sheet name="(2) Chi-Square ABO" sheetId="12" r:id="rId5"/>
    <sheet name="Critical Values of X^2" sheetId="48" r:id="rId6"/>
    <sheet name="(3) RxC G-test" sheetId="57" r:id="rId7"/>
    <sheet name="(3b) RxC G-test" sheetId="61" r:id="rId8"/>
    <sheet name="X vs XlnK" sheetId="53" r:id="rId9"/>
    <sheet name="(4) G-test A B AB O" sheetId="56" r:id="rId10"/>
    <sheet name="(5) A B AB O ethnic data" sheetId="13" r:id="rId11"/>
    <sheet name="ABO - Rh 2024 data" sheetId="58" r:id="rId12"/>
    <sheet name="t-test" sheetId="4" r:id="rId13"/>
    <sheet name="Critical Values of t" sheetId="16" r:id="rId14"/>
    <sheet name="F-test" sheetId="1" r:id="rId15"/>
    <sheet name="F-test (2)" sheetId="46" r:id="rId16"/>
    <sheet name="Critical Values of F" sheetId="45" r:id="rId17"/>
    <sheet name="Bayes calculation" sheetId="2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61" l="1"/>
  <c r="Z6" i="61"/>
  <c r="Z7" i="61"/>
  <c r="Z8" i="61"/>
  <c r="AB8" i="61" s="1"/>
  <c r="Z9" i="61"/>
  <c r="Z10" i="61"/>
  <c r="Z11" i="61"/>
  <c r="AB11" i="61" s="1"/>
  <c r="Z12" i="61"/>
  <c r="AB12" i="61" s="1"/>
  <c r="Z13" i="61"/>
  <c r="Z14" i="61"/>
  <c r="Z15" i="61"/>
  <c r="AB15" i="61" s="1"/>
  <c r="Z16" i="61"/>
  <c r="AB16" i="61" s="1"/>
  <c r="Z17" i="61"/>
  <c r="Z18" i="61"/>
  <c r="Z19" i="61"/>
  <c r="Z4" i="61"/>
  <c r="AB7" i="61"/>
  <c r="AB4" i="61"/>
  <c r="AB6" i="61"/>
  <c r="AB14" i="61"/>
  <c r="AB19" i="61"/>
  <c r="Y5" i="61"/>
  <c r="Y6" i="61"/>
  <c r="Y7" i="61"/>
  <c r="AA7" i="61" s="1"/>
  <c r="Y8" i="61"/>
  <c r="AA8" i="61" s="1"/>
  <c r="Y9" i="61"/>
  <c r="Y10" i="61"/>
  <c r="Y11" i="61"/>
  <c r="AA11" i="61" s="1"/>
  <c r="Y12" i="61"/>
  <c r="AA12" i="61" s="1"/>
  <c r="Y13" i="61"/>
  <c r="Y14" i="61"/>
  <c r="Y15" i="61"/>
  <c r="Y16" i="61"/>
  <c r="AA16" i="61" s="1"/>
  <c r="Y17" i="61"/>
  <c r="Y18" i="61"/>
  <c r="AA18" i="61" s="1"/>
  <c r="Y19" i="61"/>
  <c r="Y4" i="61"/>
  <c r="AA4" i="61"/>
  <c r="AA5" i="61"/>
  <c r="AB5" i="61"/>
  <c r="AA6" i="61"/>
  <c r="AA9" i="61"/>
  <c r="AB9" i="61"/>
  <c r="AA10" i="61"/>
  <c r="AB10" i="61"/>
  <c r="AA13" i="61"/>
  <c r="AB13" i="61"/>
  <c r="AA14" i="61"/>
  <c r="AA15" i="61"/>
  <c r="AA17" i="61"/>
  <c r="AB17" i="61"/>
  <c r="AB18" i="61"/>
  <c r="AA19" i="61"/>
  <c r="G15" i="61"/>
  <c r="L5" i="61"/>
  <c r="M5" i="61"/>
  <c r="N5" i="61"/>
  <c r="O5" i="61"/>
  <c r="P5" i="61"/>
  <c r="L6" i="61"/>
  <c r="M6" i="61"/>
  <c r="N6" i="61"/>
  <c r="O6" i="61"/>
  <c r="P6" i="61"/>
  <c r="L7" i="61"/>
  <c r="M7" i="61"/>
  <c r="N7" i="61"/>
  <c r="O7" i="61"/>
  <c r="P7" i="61"/>
  <c r="L8" i="61"/>
  <c r="M8" i="61"/>
  <c r="N8" i="61"/>
  <c r="O8" i="61"/>
  <c r="P8" i="61"/>
  <c r="L9" i="61"/>
  <c r="M9" i="61"/>
  <c r="N9" i="61"/>
  <c r="O9" i="61"/>
  <c r="P9" i="61"/>
  <c r="L10" i="61"/>
  <c r="M10" i="61"/>
  <c r="N10" i="61"/>
  <c r="O10" i="61"/>
  <c r="P10" i="61"/>
  <c r="L11" i="61"/>
  <c r="M11" i="61"/>
  <c r="N11" i="61"/>
  <c r="O11" i="61"/>
  <c r="P11" i="61"/>
  <c r="L12" i="61"/>
  <c r="M12" i="61"/>
  <c r="N12" i="61"/>
  <c r="O12" i="61"/>
  <c r="P12" i="61"/>
  <c r="L13" i="61"/>
  <c r="M13" i="61"/>
  <c r="N13" i="61"/>
  <c r="O13" i="61"/>
  <c r="P13" i="61"/>
  <c r="L14" i="61"/>
  <c r="M14" i="61"/>
  <c r="N14" i="61"/>
  <c r="O14" i="61"/>
  <c r="P14" i="61"/>
  <c r="L15" i="61"/>
  <c r="M15" i="61"/>
  <c r="N15" i="61"/>
  <c r="O15" i="61"/>
  <c r="P15" i="61"/>
  <c r="L16" i="61"/>
  <c r="M16" i="61"/>
  <c r="N16" i="61"/>
  <c r="O16" i="61"/>
  <c r="P16" i="61"/>
  <c r="L17" i="61"/>
  <c r="M17" i="61"/>
  <c r="N17" i="61"/>
  <c r="O17" i="61"/>
  <c r="P17" i="61"/>
  <c r="L18" i="61"/>
  <c r="M18" i="61"/>
  <c r="N18" i="61"/>
  <c r="O18" i="61"/>
  <c r="P18" i="61"/>
  <c r="L19" i="61"/>
  <c r="M19" i="61"/>
  <c r="N19" i="61"/>
  <c r="O19" i="61"/>
  <c r="P19" i="61"/>
  <c r="L20" i="61"/>
  <c r="M20" i="61"/>
  <c r="N20" i="61"/>
  <c r="O20" i="61"/>
  <c r="P20" i="61"/>
  <c r="L21" i="61"/>
  <c r="M21" i="61"/>
  <c r="N21" i="61"/>
  <c r="O21" i="61"/>
  <c r="P21" i="61"/>
  <c r="L22" i="61"/>
  <c r="M22" i="61"/>
  <c r="N22" i="61"/>
  <c r="O22" i="61"/>
  <c r="P22" i="61"/>
  <c r="L23" i="61"/>
  <c r="M23" i="61"/>
  <c r="N23" i="61"/>
  <c r="O23" i="61"/>
  <c r="P23" i="61"/>
  <c r="L24" i="61"/>
  <c r="M24" i="61"/>
  <c r="N24" i="61"/>
  <c r="O24" i="61"/>
  <c r="P24" i="61"/>
  <c r="L25" i="61"/>
  <c r="M25" i="61"/>
  <c r="N25" i="61"/>
  <c r="O25" i="61"/>
  <c r="P25" i="61"/>
  <c r="L26" i="61"/>
  <c r="M26" i="61"/>
  <c r="N26" i="61"/>
  <c r="O26" i="61"/>
  <c r="P26" i="61"/>
  <c r="L27" i="61"/>
  <c r="M27" i="61"/>
  <c r="N27" i="61"/>
  <c r="O27" i="61"/>
  <c r="P27" i="61"/>
  <c r="L28" i="61"/>
  <c r="M28" i="61"/>
  <c r="N28" i="61"/>
  <c r="O28" i="61"/>
  <c r="P28" i="61"/>
  <c r="L29" i="61"/>
  <c r="M29" i="61"/>
  <c r="N29" i="61"/>
  <c r="O29" i="61"/>
  <c r="P29" i="61"/>
  <c r="L30" i="61"/>
  <c r="M30" i="61"/>
  <c r="N30" i="61"/>
  <c r="O30" i="61"/>
  <c r="P30" i="61"/>
  <c r="L31" i="61"/>
  <c r="M31" i="61"/>
  <c r="N31" i="61"/>
  <c r="O31" i="61"/>
  <c r="P31" i="61"/>
  <c r="L32" i="61"/>
  <c r="M32" i="61"/>
  <c r="N32" i="61"/>
  <c r="O32" i="61"/>
  <c r="P32" i="61"/>
  <c r="L33" i="61"/>
  <c r="M33" i="61"/>
  <c r="N33" i="61"/>
  <c r="O33" i="61"/>
  <c r="P33" i="61"/>
  <c r="L34" i="61"/>
  <c r="M34" i="61"/>
  <c r="N34" i="61"/>
  <c r="O34" i="61"/>
  <c r="P34" i="61"/>
  <c r="L35" i="61"/>
  <c r="M35" i="61"/>
  <c r="N35" i="61"/>
  <c r="O35" i="61"/>
  <c r="P35" i="61"/>
  <c r="L36" i="61"/>
  <c r="M36" i="61"/>
  <c r="N36" i="61"/>
  <c r="O36" i="61"/>
  <c r="P36" i="61"/>
  <c r="L37" i="61"/>
  <c r="M37" i="61"/>
  <c r="N37" i="61"/>
  <c r="O37" i="61"/>
  <c r="P37" i="61"/>
  <c r="L38" i="61"/>
  <c r="M38" i="61"/>
  <c r="N38" i="61"/>
  <c r="O38" i="61"/>
  <c r="P38" i="61"/>
  <c r="L39" i="61"/>
  <c r="M39" i="61"/>
  <c r="N39" i="61"/>
  <c r="O39" i="61"/>
  <c r="P39" i="61"/>
  <c r="L40" i="61"/>
  <c r="M40" i="61"/>
  <c r="N40" i="61"/>
  <c r="O40" i="61"/>
  <c r="P40" i="61"/>
  <c r="L41" i="61"/>
  <c r="M41" i="61"/>
  <c r="N41" i="61"/>
  <c r="O41" i="61"/>
  <c r="P41" i="61"/>
  <c r="L42" i="61"/>
  <c r="M42" i="61"/>
  <c r="N42" i="61"/>
  <c r="O42" i="61"/>
  <c r="P42" i="61"/>
  <c r="L43" i="61"/>
  <c r="M43" i="61"/>
  <c r="N43" i="61"/>
  <c r="O43" i="61"/>
  <c r="P43" i="61"/>
  <c r="P4" i="61"/>
  <c r="O4" i="61"/>
  <c r="N4" i="61"/>
  <c r="M4" i="61"/>
  <c r="L4" i="61"/>
  <c r="M11" i="59"/>
  <c r="I46" i="59"/>
  <c r="E9" i="59"/>
  <c r="F9" i="59" s="1"/>
  <c r="E13" i="59"/>
  <c r="F13" i="59" s="1"/>
  <c r="E5" i="59"/>
  <c r="F5" i="59" s="1"/>
  <c r="AQ43" i="57"/>
  <c r="AP43" i="57"/>
  <c r="AO43" i="57"/>
  <c r="AN43" i="57"/>
  <c r="AM43" i="57"/>
  <c r="AD43" i="57"/>
  <c r="AC43" i="57"/>
  <c r="AQ42" i="57"/>
  <c r="AP42" i="57"/>
  <c r="AO42" i="57"/>
  <c r="AN42" i="57"/>
  <c r="AM42" i="57"/>
  <c r="AD42" i="57"/>
  <c r="AC42" i="57"/>
  <c r="AQ41" i="57"/>
  <c r="AP41" i="57"/>
  <c r="AO41" i="57"/>
  <c r="AN41" i="57"/>
  <c r="AM41" i="57"/>
  <c r="AD41" i="57"/>
  <c r="AC41" i="57"/>
  <c r="AQ40" i="57"/>
  <c r="AP40" i="57"/>
  <c r="AO40" i="57"/>
  <c r="AN40" i="57"/>
  <c r="AM40" i="57"/>
  <c r="AD40" i="57"/>
  <c r="AH40" i="57" s="1"/>
  <c r="AC40" i="57"/>
  <c r="AQ39" i="57"/>
  <c r="AP39" i="57"/>
  <c r="AO39" i="57"/>
  <c r="AN39" i="57"/>
  <c r="AM39" i="57"/>
  <c r="AD39" i="57"/>
  <c r="AC39" i="57"/>
  <c r="AQ38" i="57"/>
  <c r="AP38" i="57"/>
  <c r="AO38" i="57"/>
  <c r="AN38" i="57"/>
  <c r="AM38" i="57"/>
  <c r="AD38" i="57"/>
  <c r="AH38" i="57" s="1"/>
  <c r="AC38" i="57"/>
  <c r="AQ37" i="57"/>
  <c r="AP37" i="57"/>
  <c r="AO37" i="57"/>
  <c r="AN37" i="57"/>
  <c r="AM37" i="57"/>
  <c r="AD37" i="57"/>
  <c r="AC37" i="57"/>
  <c r="AQ36" i="57"/>
  <c r="AP36" i="57"/>
  <c r="AO36" i="57"/>
  <c r="AN36" i="57"/>
  <c r="AM36" i="57"/>
  <c r="AD36" i="57"/>
  <c r="AH36" i="57" s="1"/>
  <c r="AC36" i="57"/>
  <c r="AQ35" i="57"/>
  <c r="AP35" i="57"/>
  <c r="AO35" i="57"/>
  <c r="AN35" i="57"/>
  <c r="AM35" i="57"/>
  <c r="AD35" i="57"/>
  <c r="AH35" i="57" s="1"/>
  <c r="AC35" i="57"/>
  <c r="AQ34" i="57"/>
  <c r="AP34" i="57"/>
  <c r="AO34" i="57"/>
  <c r="AN34" i="57"/>
  <c r="AM34" i="57"/>
  <c r="AD34" i="57"/>
  <c r="AC34" i="57"/>
  <c r="AQ33" i="57"/>
  <c r="AP33" i="57"/>
  <c r="AO33" i="57"/>
  <c r="AN33" i="57"/>
  <c r="AM33" i="57"/>
  <c r="AD33" i="57"/>
  <c r="AC33" i="57"/>
  <c r="AQ32" i="57"/>
  <c r="AP32" i="57"/>
  <c r="AO32" i="57"/>
  <c r="AN32" i="57"/>
  <c r="AM32" i="57"/>
  <c r="AD32" i="57"/>
  <c r="AH32" i="57" s="1"/>
  <c r="AC32" i="57"/>
  <c r="AQ31" i="57"/>
  <c r="AP31" i="57"/>
  <c r="AO31" i="57"/>
  <c r="AN31" i="57"/>
  <c r="AM31" i="57"/>
  <c r="AD31" i="57"/>
  <c r="AC31" i="57"/>
  <c r="AQ30" i="57"/>
  <c r="AP30" i="57"/>
  <c r="AO30" i="57"/>
  <c r="AN30" i="57"/>
  <c r="AM30" i="57"/>
  <c r="AD30" i="57"/>
  <c r="AH30" i="57" s="1"/>
  <c r="AC30" i="57"/>
  <c r="AQ29" i="57"/>
  <c r="AP29" i="57"/>
  <c r="AO29" i="57"/>
  <c r="AN29" i="57"/>
  <c r="AM29" i="57"/>
  <c r="AD29" i="57"/>
  <c r="AH29" i="57" s="1"/>
  <c r="AC29" i="57"/>
  <c r="AQ28" i="57"/>
  <c r="AP28" i="57"/>
  <c r="AO28" i="57"/>
  <c r="AN28" i="57"/>
  <c r="AM28" i="57"/>
  <c r="AD28" i="57"/>
  <c r="AC28" i="57"/>
  <c r="AQ27" i="57"/>
  <c r="AP27" i="57"/>
  <c r="AO27" i="57"/>
  <c r="AN27" i="57"/>
  <c r="AM27" i="57"/>
  <c r="AD27" i="57"/>
  <c r="AC27" i="57"/>
  <c r="AQ26" i="57"/>
  <c r="AP26" i="57"/>
  <c r="AO26" i="57"/>
  <c r="AN26" i="57"/>
  <c r="AM26" i="57"/>
  <c r="AD26" i="57"/>
  <c r="AC26" i="57"/>
  <c r="AQ25" i="57"/>
  <c r="AP25" i="57"/>
  <c r="AO25" i="57"/>
  <c r="AN25" i="57"/>
  <c r="AM25" i="57"/>
  <c r="AD25" i="57"/>
  <c r="AC25" i="57"/>
  <c r="AQ24" i="57"/>
  <c r="AP24" i="57"/>
  <c r="AO24" i="57"/>
  <c r="AN24" i="57"/>
  <c r="AM24" i="57"/>
  <c r="AD24" i="57"/>
  <c r="AH24" i="57" s="1"/>
  <c r="AC24" i="57"/>
  <c r="AQ23" i="57"/>
  <c r="AP23" i="57"/>
  <c r="AO23" i="57"/>
  <c r="AN23" i="57"/>
  <c r="AM23" i="57"/>
  <c r="AD23" i="57"/>
  <c r="AC23" i="57"/>
  <c r="AQ22" i="57"/>
  <c r="AP22" i="57"/>
  <c r="AO22" i="57"/>
  <c r="AN22" i="57"/>
  <c r="AM22" i="57"/>
  <c r="AD22" i="57"/>
  <c r="AH22" i="57" s="1"/>
  <c r="AC22" i="57"/>
  <c r="AQ21" i="57"/>
  <c r="AP21" i="57"/>
  <c r="AO21" i="57"/>
  <c r="AN21" i="57"/>
  <c r="AM21" i="57"/>
  <c r="AD21" i="57"/>
  <c r="AH21" i="57" s="1"/>
  <c r="AC21" i="57"/>
  <c r="AQ20" i="57"/>
  <c r="AP20" i="57"/>
  <c r="AO20" i="57"/>
  <c r="AN20" i="57"/>
  <c r="AM20" i="57"/>
  <c r="AD20" i="57"/>
  <c r="AH20" i="57" s="1"/>
  <c r="AC20" i="57"/>
  <c r="AQ19" i="57"/>
  <c r="AP19" i="57"/>
  <c r="AO19" i="57"/>
  <c r="AN19" i="57"/>
  <c r="AM19" i="57"/>
  <c r="AD19" i="57"/>
  <c r="AH19" i="57" s="1"/>
  <c r="AC19" i="57"/>
  <c r="AQ18" i="57"/>
  <c r="AP18" i="57"/>
  <c r="AO18" i="57"/>
  <c r="AN18" i="57"/>
  <c r="AM18" i="57"/>
  <c r="AD18" i="57"/>
  <c r="AC18" i="57"/>
  <c r="AQ17" i="57"/>
  <c r="AP17" i="57"/>
  <c r="AO17" i="57"/>
  <c r="AN17" i="57"/>
  <c r="AM17" i="57"/>
  <c r="AD17" i="57"/>
  <c r="AC17" i="57"/>
  <c r="AQ16" i="57"/>
  <c r="AP16" i="57"/>
  <c r="AO16" i="57"/>
  <c r="AN16" i="57"/>
  <c r="AM16" i="57"/>
  <c r="AD16" i="57"/>
  <c r="AH16" i="57" s="1"/>
  <c r="AC16" i="57"/>
  <c r="AQ15" i="57"/>
  <c r="AP15" i="57"/>
  <c r="AO15" i="57"/>
  <c r="AN15" i="57"/>
  <c r="AM15" i="57"/>
  <c r="AD15" i="57"/>
  <c r="AC15" i="57"/>
  <c r="AQ14" i="57"/>
  <c r="AP14" i="57"/>
  <c r="AO14" i="57"/>
  <c r="AN14" i="57"/>
  <c r="AM14" i="57"/>
  <c r="AD14" i="57"/>
  <c r="AH14" i="57" s="1"/>
  <c r="AC14" i="57"/>
  <c r="AQ13" i="57"/>
  <c r="AP13" i="57"/>
  <c r="AO13" i="57"/>
  <c r="AN13" i="57"/>
  <c r="AM13" i="57"/>
  <c r="AD13" i="57"/>
  <c r="AC13" i="57"/>
  <c r="AQ12" i="57"/>
  <c r="AP12" i="57"/>
  <c r="AO12" i="57"/>
  <c r="AN12" i="57"/>
  <c r="AM12" i="57"/>
  <c r="AD12" i="57"/>
  <c r="AC12" i="57"/>
  <c r="AQ11" i="57"/>
  <c r="AP11" i="57"/>
  <c r="AO11" i="57"/>
  <c r="AN11" i="57"/>
  <c r="AM11" i="57"/>
  <c r="AD11" i="57"/>
  <c r="AC11" i="57"/>
  <c r="AQ10" i="57"/>
  <c r="AP10" i="57"/>
  <c r="AO10" i="57"/>
  <c r="AN10" i="57"/>
  <c r="AM10" i="57"/>
  <c r="AD10" i="57"/>
  <c r="AC10" i="57"/>
  <c r="AQ9" i="57"/>
  <c r="AP9" i="57"/>
  <c r="AO9" i="57"/>
  <c r="AN9" i="57"/>
  <c r="AM9" i="57"/>
  <c r="AD9" i="57"/>
  <c r="AC9" i="57"/>
  <c r="AQ8" i="57"/>
  <c r="AP8" i="57"/>
  <c r="AO8" i="57"/>
  <c r="AN8" i="57"/>
  <c r="AM8" i="57"/>
  <c r="AD8" i="57"/>
  <c r="AH8" i="57" s="1"/>
  <c r="AC8" i="57"/>
  <c r="AQ7" i="57"/>
  <c r="AP7" i="57"/>
  <c r="AO7" i="57"/>
  <c r="AN7" i="57"/>
  <c r="AM7" i="57"/>
  <c r="AD7" i="57"/>
  <c r="AC7" i="57"/>
  <c r="AQ6" i="57"/>
  <c r="AP6" i="57"/>
  <c r="AO6" i="57"/>
  <c r="AN6" i="57"/>
  <c r="AM6" i="57"/>
  <c r="AD6" i="57"/>
  <c r="AH6" i="57" s="1"/>
  <c r="AC6" i="57"/>
  <c r="AQ5" i="57"/>
  <c r="AP5" i="57"/>
  <c r="AO5" i="57"/>
  <c r="AN5" i="57"/>
  <c r="AM5" i="57"/>
  <c r="AD5" i="57"/>
  <c r="AC5" i="57"/>
  <c r="AQ4" i="57"/>
  <c r="AP4" i="57"/>
  <c r="AO4" i="57"/>
  <c r="AN4" i="57"/>
  <c r="AM4" i="57"/>
  <c r="AD4" i="57"/>
  <c r="AH4" i="57" s="1"/>
  <c r="AC4" i="57"/>
  <c r="D36" i="57"/>
  <c r="P15" i="57"/>
  <c r="O15" i="57"/>
  <c r="P14" i="57"/>
  <c r="O14" i="57"/>
  <c r="V13" i="57"/>
  <c r="U13" i="57"/>
  <c r="T13" i="57"/>
  <c r="S13" i="57"/>
  <c r="R13" i="57"/>
  <c r="Q13" i="57"/>
  <c r="V12" i="57"/>
  <c r="U12" i="57"/>
  <c r="T12" i="57"/>
  <c r="S12" i="57"/>
  <c r="R12" i="57"/>
  <c r="Q12" i="57"/>
  <c r="V11" i="57"/>
  <c r="U11" i="57"/>
  <c r="T11" i="57"/>
  <c r="S11" i="57"/>
  <c r="R11" i="57"/>
  <c r="Q11" i="57"/>
  <c r="T10" i="57"/>
  <c r="S10" i="57"/>
  <c r="R10" i="57"/>
  <c r="Q10" i="57"/>
  <c r="V10" i="57" s="1"/>
  <c r="T9" i="57"/>
  <c r="S9" i="57"/>
  <c r="R9" i="57"/>
  <c r="Q9" i="57"/>
  <c r="V9" i="57" s="1"/>
  <c r="T8" i="57"/>
  <c r="S8" i="57"/>
  <c r="R8" i="57"/>
  <c r="Q8" i="57"/>
  <c r="V8" i="57" s="1"/>
  <c r="T7" i="57"/>
  <c r="S7" i="57"/>
  <c r="R7" i="57"/>
  <c r="Q7" i="57"/>
  <c r="U7" i="57" s="1"/>
  <c r="T6" i="57"/>
  <c r="S6" i="57"/>
  <c r="R6" i="57"/>
  <c r="Q6" i="57"/>
  <c r="V6" i="57" s="1"/>
  <c r="T5" i="57"/>
  <c r="S5" i="57"/>
  <c r="R5" i="57"/>
  <c r="Q5" i="57"/>
  <c r="U5" i="57" s="1"/>
  <c r="T4" i="57"/>
  <c r="S4" i="57"/>
  <c r="R4" i="57"/>
  <c r="Q4" i="57"/>
  <c r="V4" i="57" s="1"/>
  <c r="G42" i="61"/>
  <c r="G40" i="61"/>
  <c r="G36" i="61"/>
  <c r="G32" i="61"/>
  <c r="G28" i="61"/>
  <c r="G24" i="61"/>
  <c r="G23" i="61"/>
  <c r="G20" i="61"/>
  <c r="G18" i="61"/>
  <c r="G16" i="61"/>
  <c r="G12" i="61"/>
  <c r="G8" i="61"/>
  <c r="Y7" i="13"/>
  <c r="Z7" i="13"/>
  <c r="AA7" i="13"/>
  <c r="AB7" i="13"/>
  <c r="Y8" i="13"/>
  <c r="Z8" i="13"/>
  <c r="AA8" i="13"/>
  <c r="AB8" i="13"/>
  <c r="Y9" i="13"/>
  <c r="Z9" i="13"/>
  <c r="AA9" i="13"/>
  <c r="AB9" i="13"/>
  <c r="Y10" i="13"/>
  <c r="Z10" i="13"/>
  <c r="AA10" i="13"/>
  <c r="AB10" i="13"/>
  <c r="Y11" i="13"/>
  <c r="Z11" i="13"/>
  <c r="AA11" i="13"/>
  <c r="AB11" i="13"/>
  <c r="Y12" i="13"/>
  <c r="Z12" i="13"/>
  <c r="AA12" i="13"/>
  <c r="AB12" i="13"/>
  <c r="Y13" i="13"/>
  <c r="Z13" i="13"/>
  <c r="AA13" i="13"/>
  <c r="AB13" i="13"/>
  <c r="Y14" i="13"/>
  <c r="Z14" i="13"/>
  <c r="AA14" i="13"/>
  <c r="AB14" i="13"/>
  <c r="Y15" i="13"/>
  <c r="Z15" i="13"/>
  <c r="AA15" i="13"/>
  <c r="AB15" i="13"/>
  <c r="Y16" i="13"/>
  <c r="Z16" i="13"/>
  <c r="AA16" i="13"/>
  <c r="AB16" i="13"/>
  <c r="Y17" i="13"/>
  <c r="Z17" i="13"/>
  <c r="AA17" i="13"/>
  <c r="AB17" i="13"/>
  <c r="Y18" i="13"/>
  <c r="Z18" i="13"/>
  <c r="AA18" i="13"/>
  <c r="AB18" i="13"/>
  <c r="Y19" i="13"/>
  <c r="Z19" i="13"/>
  <c r="AA19" i="13"/>
  <c r="AB19" i="13"/>
  <c r="Y20" i="13"/>
  <c r="Z20" i="13"/>
  <c r="AA20" i="13"/>
  <c r="AB20" i="13"/>
  <c r="Y21" i="13"/>
  <c r="Z21" i="13"/>
  <c r="AA21" i="13"/>
  <c r="AB21" i="13"/>
  <c r="Y22" i="13"/>
  <c r="Z22" i="13"/>
  <c r="AA22" i="13"/>
  <c r="AB22" i="13"/>
  <c r="Y23" i="13"/>
  <c r="Z23" i="13"/>
  <c r="AA23" i="13"/>
  <c r="AB23" i="13"/>
  <c r="Y24" i="13"/>
  <c r="Z24" i="13"/>
  <c r="AA24" i="13"/>
  <c r="AB24" i="13"/>
  <c r="Y25" i="13"/>
  <c r="Z25" i="13"/>
  <c r="AA25" i="13"/>
  <c r="AB25" i="13"/>
  <c r="Y26" i="13"/>
  <c r="Z26" i="13"/>
  <c r="AA26" i="13"/>
  <c r="AB26" i="13"/>
  <c r="Y27" i="13"/>
  <c r="Z27" i="13"/>
  <c r="AA27" i="13"/>
  <c r="AB27" i="13"/>
  <c r="Y28" i="13"/>
  <c r="Z28" i="13"/>
  <c r="AA28" i="13"/>
  <c r="AB28" i="13"/>
  <c r="Y29" i="13"/>
  <c r="Z29" i="13"/>
  <c r="AA29" i="13"/>
  <c r="AB29" i="13"/>
  <c r="Y30" i="13"/>
  <c r="Z30" i="13"/>
  <c r="AA30" i="13"/>
  <c r="AB30" i="13"/>
  <c r="Y31" i="13"/>
  <c r="Z31" i="13"/>
  <c r="AA31" i="13"/>
  <c r="AB31" i="13"/>
  <c r="Y32" i="13"/>
  <c r="Z32" i="13"/>
  <c r="AA32" i="13"/>
  <c r="AB32" i="13"/>
  <c r="Y33" i="13"/>
  <c r="Z33" i="13"/>
  <c r="AA33" i="13"/>
  <c r="AB33" i="13"/>
  <c r="Y34" i="13"/>
  <c r="Z34" i="13"/>
  <c r="AA34" i="13"/>
  <c r="AB34" i="13"/>
  <c r="Y35" i="13"/>
  <c r="Z35" i="13"/>
  <c r="AA35" i="13"/>
  <c r="AB35" i="13"/>
  <c r="Y36" i="13"/>
  <c r="Z36" i="13"/>
  <c r="AA36" i="13"/>
  <c r="AB36" i="13"/>
  <c r="Y37" i="13"/>
  <c r="Z37" i="13"/>
  <c r="AA37" i="13"/>
  <c r="AB37" i="13"/>
  <c r="Y38" i="13"/>
  <c r="Z38" i="13"/>
  <c r="AA38" i="13"/>
  <c r="AB38" i="13"/>
  <c r="Y39" i="13"/>
  <c r="Z39" i="13"/>
  <c r="AA39" i="13"/>
  <c r="AB39" i="13"/>
  <c r="Y40" i="13"/>
  <c r="Z40" i="13"/>
  <c r="AA40" i="13"/>
  <c r="AB40" i="13"/>
  <c r="Y41" i="13"/>
  <c r="Z41" i="13"/>
  <c r="AA41" i="13"/>
  <c r="AB41" i="13"/>
  <c r="Y42" i="13"/>
  <c r="Z42" i="13"/>
  <c r="AA42" i="13"/>
  <c r="AB42" i="13"/>
  <c r="Y43" i="13"/>
  <c r="Z43" i="13"/>
  <c r="AA43" i="13"/>
  <c r="AB43" i="13"/>
  <c r="Y45" i="13"/>
  <c r="Z45" i="13"/>
  <c r="AA45" i="13"/>
  <c r="AB45" i="13"/>
  <c r="Y46" i="13"/>
  <c r="Z46" i="13"/>
  <c r="AA46" i="13"/>
  <c r="AB46" i="13"/>
  <c r="Y47" i="13"/>
  <c r="Z47" i="13"/>
  <c r="AA47" i="13"/>
  <c r="AB47" i="13"/>
  <c r="Y48" i="13"/>
  <c r="Z48" i="13"/>
  <c r="AA48" i="13"/>
  <c r="AB48" i="13"/>
  <c r="Y49" i="13"/>
  <c r="Z49" i="13"/>
  <c r="AA49" i="13"/>
  <c r="AB49" i="13"/>
  <c r="Y50" i="13"/>
  <c r="Z50" i="13"/>
  <c r="AA50" i="13"/>
  <c r="AB50" i="13"/>
  <c r="Y51" i="13"/>
  <c r="Z51" i="13"/>
  <c r="AA51" i="13"/>
  <c r="AB51" i="13"/>
  <c r="Y52" i="13"/>
  <c r="Z52" i="13"/>
  <c r="AA52" i="13"/>
  <c r="AB52" i="13"/>
  <c r="Y53" i="13"/>
  <c r="Z53" i="13"/>
  <c r="AA53" i="13"/>
  <c r="AB53" i="13"/>
  <c r="Y54" i="13"/>
  <c r="Z54" i="13"/>
  <c r="AA54" i="13"/>
  <c r="AB54" i="13"/>
  <c r="Y55" i="13"/>
  <c r="Z55" i="13"/>
  <c r="AA55" i="13"/>
  <c r="AB55" i="13"/>
  <c r="Y56" i="13"/>
  <c r="Z56" i="13"/>
  <c r="AA56" i="13"/>
  <c r="AB56" i="13"/>
  <c r="Y57" i="13"/>
  <c r="Z57" i="13"/>
  <c r="AA57" i="13"/>
  <c r="AB57" i="13"/>
  <c r="Y58" i="13"/>
  <c r="Z58" i="13"/>
  <c r="AA58" i="13"/>
  <c r="AB58" i="13"/>
  <c r="Y59" i="13"/>
  <c r="Z59" i="13"/>
  <c r="AA59" i="13"/>
  <c r="AB59" i="13"/>
  <c r="Y60" i="13"/>
  <c r="Z60" i="13"/>
  <c r="AA60" i="13"/>
  <c r="AB60" i="13"/>
  <c r="Y61" i="13"/>
  <c r="Z61" i="13"/>
  <c r="AA61" i="13"/>
  <c r="AB61" i="13"/>
  <c r="Y62" i="13"/>
  <c r="Z62" i="13"/>
  <c r="AA62" i="13"/>
  <c r="AB62" i="13"/>
  <c r="Y63" i="13"/>
  <c r="Z63" i="13"/>
  <c r="AA63" i="13"/>
  <c r="AB63" i="13"/>
  <c r="Y64" i="13"/>
  <c r="Z64" i="13"/>
  <c r="AA64" i="13"/>
  <c r="AB64" i="13"/>
  <c r="Y65" i="13"/>
  <c r="Z65" i="13"/>
  <c r="AA65" i="13"/>
  <c r="AB65" i="13"/>
  <c r="Y66" i="13"/>
  <c r="Z66" i="13"/>
  <c r="AA66" i="13"/>
  <c r="AB66" i="13"/>
  <c r="Y67" i="13"/>
  <c r="Z67" i="13"/>
  <c r="AA67" i="13"/>
  <c r="AB67" i="13"/>
  <c r="Y68" i="13"/>
  <c r="Z68" i="13"/>
  <c r="AA68" i="13"/>
  <c r="AB68" i="13"/>
  <c r="Y69" i="13"/>
  <c r="Z69" i="13"/>
  <c r="AA69" i="13"/>
  <c r="AB69" i="13"/>
  <c r="Y70" i="13"/>
  <c r="Z70" i="13"/>
  <c r="AA70" i="13"/>
  <c r="AB70" i="13"/>
  <c r="Y71" i="13"/>
  <c r="Z71" i="13"/>
  <c r="AA71" i="13"/>
  <c r="AB71" i="13"/>
  <c r="Y72" i="13"/>
  <c r="Z72" i="13"/>
  <c r="AA72" i="13"/>
  <c r="AB72" i="13"/>
  <c r="Y73" i="13"/>
  <c r="Z73" i="13"/>
  <c r="AA73" i="13"/>
  <c r="AB73" i="13"/>
  <c r="Y74" i="13"/>
  <c r="Z74" i="13"/>
  <c r="AA74" i="13"/>
  <c r="AB74" i="13"/>
  <c r="Y75" i="13"/>
  <c r="Z75" i="13"/>
  <c r="AA75" i="13"/>
  <c r="AB75" i="13"/>
  <c r="Y76" i="13"/>
  <c r="Z76" i="13"/>
  <c r="AA76" i="13"/>
  <c r="AB76" i="13"/>
  <c r="Y77" i="13"/>
  <c r="Z77" i="13"/>
  <c r="AA77" i="13"/>
  <c r="AB77" i="13"/>
  <c r="Y78" i="13"/>
  <c r="Z78" i="13"/>
  <c r="AA78" i="13"/>
  <c r="AB78" i="13"/>
  <c r="Y79" i="13"/>
  <c r="Z79" i="13"/>
  <c r="AA79" i="13"/>
  <c r="AB79" i="13"/>
  <c r="Y80" i="13"/>
  <c r="Z80" i="13"/>
  <c r="AA80" i="13"/>
  <c r="AB80" i="13"/>
  <c r="Y81" i="13"/>
  <c r="Z81" i="13"/>
  <c r="AA81" i="13"/>
  <c r="AB81" i="13"/>
  <c r="Y82" i="13"/>
  <c r="Z82" i="13"/>
  <c r="AA82" i="13"/>
  <c r="AB82" i="13"/>
  <c r="Y83" i="13"/>
  <c r="Z83" i="13"/>
  <c r="AA83" i="13"/>
  <c r="AB83" i="13"/>
  <c r="Y84" i="13"/>
  <c r="Z84" i="13"/>
  <c r="AA84" i="13"/>
  <c r="AB84" i="13"/>
  <c r="Y85" i="13"/>
  <c r="Z85" i="13"/>
  <c r="AA85" i="13"/>
  <c r="AB85" i="13"/>
  <c r="Y86" i="13"/>
  <c r="Z86" i="13"/>
  <c r="AA86" i="13"/>
  <c r="AB86" i="13"/>
  <c r="Y87" i="13"/>
  <c r="Z87" i="13"/>
  <c r="AA87" i="13"/>
  <c r="AB87" i="13"/>
  <c r="Y88" i="13"/>
  <c r="Z88" i="13"/>
  <c r="AA88" i="13"/>
  <c r="AB88" i="13"/>
  <c r="Y89" i="13"/>
  <c r="Z89" i="13"/>
  <c r="AA89" i="13"/>
  <c r="AB89" i="13"/>
  <c r="Y90" i="13"/>
  <c r="Z90" i="13"/>
  <c r="AA90" i="13"/>
  <c r="AB90" i="13"/>
  <c r="Y91" i="13"/>
  <c r="Z91" i="13"/>
  <c r="AA91" i="13"/>
  <c r="AB91" i="13"/>
  <c r="Y92" i="13"/>
  <c r="Z92" i="13"/>
  <c r="AA92" i="13"/>
  <c r="AB92" i="13"/>
  <c r="Y93" i="13"/>
  <c r="Z93" i="13"/>
  <c r="AA93" i="13"/>
  <c r="AB93" i="13"/>
  <c r="Y94" i="13"/>
  <c r="Z94" i="13"/>
  <c r="AA94" i="13"/>
  <c r="AB94" i="13"/>
  <c r="Y95" i="13"/>
  <c r="Z95" i="13"/>
  <c r="AA95" i="13"/>
  <c r="AB95" i="13"/>
  <c r="Y96" i="13"/>
  <c r="Z96" i="13"/>
  <c r="AA96" i="13"/>
  <c r="AB96" i="13"/>
  <c r="Y97" i="13"/>
  <c r="Z97" i="13"/>
  <c r="AA97" i="13"/>
  <c r="AB97" i="13"/>
  <c r="I44" i="13"/>
  <c r="H44" i="13" s="1"/>
  <c r="AX44" i="59"/>
  <c r="AX43" i="59"/>
  <c r="AX42" i="59"/>
  <c r="AX41" i="59"/>
  <c r="AX40" i="59"/>
  <c r="AX39" i="59"/>
  <c r="AX38" i="59"/>
  <c r="AX37" i="59"/>
  <c r="AX36" i="59"/>
  <c r="AX35" i="59"/>
  <c r="AX34" i="59"/>
  <c r="AX33" i="59"/>
  <c r="AX32" i="59"/>
  <c r="AX31" i="59"/>
  <c r="AX30" i="59"/>
  <c r="AX29" i="59"/>
  <c r="AX28" i="59"/>
  <c r="AX27" i="59"/>
  <c r="AX26" i="59"/>
  <c r="AX25" i="59"/>
  <c r="AX24" i="59"/>
  <c r="AX23" i="59"/>
  <c r="AX22" i="59"/>
  <c r="AX21" i="59"/>
  <c r="AX20" i="59"/>
  <c r="AX19" i="59"/>
  <c r="AX18" i="59"/>
  <c r="AX17" i="59"/>
  <c r="AX16" i="59"/>
  <c r="AX15" i="59"/>
  <c r="AX14" i="59"/>
  <c r="AX13" i="59"/>
  <c r="AX12" i="59"/>
  <c r="AX11" i="59"/>
  <c r="AX10" i="59"/>
  <c r="AX9" i="59"/>
  <c r="AX8" i="59"/>
  <c r="AX7" i="59"/>
  <c r="AX6" i="59"/>
  <c r="AX5" i="59"/>
  <c r="AW44" i="59"/>
  <c r="AW43" i="59"/>
  <c r="AW42" i="59"/>
  <c r="AW41" i="59"/>
  <c r="AW40" i="59"/>
  <c r="AW39" i="59"/>
  <c r="AW38" i="59"/>
  <c r="AW37" i="59"/>
  <c r="AW36" i="59"/>
  <c r="AW35" i="59"/>
  <c r="AW34" i="59"/>
  <c r="AW33" i="59"/>
  <c r="AW32" i="59"/>
  <c r="AW31" i="59"/>
  <c r="AW30" i="59"/>
  <c r="AW29" i="59"/>
  <c r="AW28" i="59"/>
  <c r="AW27" i="59"/>
  <c r="AW26" i="59"/>
  <c r="AW25" i="59"/>
  <c r="AW24" i="59"/>
  <c r="AW23" i="59"/>
  <c r="AW22" i="59"/>
  <c r="AW21" i="59"/>
  <c r="AW20" i="59"/>
  <c r="AW19" i="59"/>
  <c r="AW18" i="59"/>
  <c r="AW17" i="59"/>
  <c r="AW16" i="59"/>
  <c r="AW15" i="59"/>
  <c r="AW14" i="59"/>
  <c r="AW13" i="59"/>
  <c r="AW12" i="59"/>
  <c r="AW11" i="59"/>
  <c r="AW10" i="59"/>
  <c r="AW9" i="59"/>
  <c r="AW8" i="59"/>
  <c r="AW7" i="59"/>
  <c r="AW6" i="59"/>
  <c r="AW5" i="59"/>
  <c r="AU6" i="59"/>
  <c r="AU7" i="59"/>
  <c r="AU8" i="59"/>
  <c r="AU9" i="59"/>
  <c r="AU10" i="59"/>
  <c r="AU11" i="59"/>
  <c r="AU12" i="59"/>
  <c r="AU13" i="59"/>
  <c r="AU14" i="59"/>
  <c r="AU15" i="59"/>
  <c r="AU16" i="59"/>
  <c r="AU17" i="59"/>
  <c r="AU18" i="59"/>
  <c r="AU19" i="59"/>
  <c r="AU20" i="59"/>
  <c r="AU21" i="59"/>
  <c r="AU22" i="59"/>
  <c r="AU23" i="59"/>
  <c r="AU24" i="59"/>
  <c r="AU25" i="59"/>
  <c r="AU26" i="59"/>
  <c r="AU27" i="59"/>
  <c r="AU28" i="59"/>
  <c r="AU29" i="59"/>
  <c r="AU30" i="59"/>
  <c r="AU31" i="59"/>
  <c r="AU32" i="59"/>
  <c r="AU33" i="59"/>
  <c r="AU34" i="59"/>
  <c r="AU35" i="59"/>
  <c r="AU36" i="59"/>
  <c r="AU37" i="59"/>
  <c r="AU38" i="59"/>
  <c r="AU39" i="59"/>
  <c r="AU40" i="59"/>
  <c r="AU41" i="59"/>
  <c r="AU42" i="59"/>
  <c r="AU43" i="59"/>
  <c r="AU44" i="59"/>
  <c r="AU5" i="59"/>
  <c r="AT6" i="59"/>
  <c r="AT7" i="59"/>
  <c r="AT8" i="59"/>
  <c r="AT9" i="59"/>
  <c r="AT10" i="59"/>
  <c r="AT11" i="59"/>
  <c r="AT12" i="59"/>
  <c r="AT13" i="59"/>
  <c r="AT14" i="59"/>
  <c r="AT15" i="59"/>
  <c r="AT16" i="59"/>
  <c r="AT17" i="59"/>
  <c r="AT18" i="59"/>
  <c r="AT19" i="59"/>
  <c r="AT20" i="59"/>
  <c r="AT21" i="59"/>
  <c r="AT22" i="59"/>
  <c r="AT23" i="59"/>
  <c r="AT24" i="59"/>
  <c r="AT25" i="59"/>
  <c r="AT26" i="59"/>
  <c r="AT27" i="59"/>
  <c r="AT28" i="59"/>
  <c r="AT29" i="59"/>
  <c r="AT30" i="59"/>
  <c r="AT31" i="59"/>
  <c r="AT32" i="59"/>
  <c r="AT33" i="59"/>
  <c r="AT34" i="59"/>
  <c r="AT35" i="59"/>
  <c r="AT36" i="59"/>
  <c r="AT37" i="59"/>
  <c r="AT38" i="59"/>
  <c r="AT39" i="59"/>
  <c r="AT40" i="59"/>
  <c r="AT41" i="59"/>
  <c r="AT42" i="59"/>
  <c r="AT43" i="59"/>
  <c r="AT44" i="59"/>
  <c r="AT5" i="59"/>
  <c r="AS6" i="59"/>
  <c r="AS7" i="59"/>
  <c r="AS8" i="59"/>
  <c r="AS9" i="59"/>
  <c r="AS10" i="59"/>
  <c r="AS11" i="59"/>
  <c r="AS12" i="59"/>
  <c r="AS13" i="59"/>
  <c r="AS14" i="59"/>
  <c r="AS15" i="59"/>
  <c r="AS16" i="59"/>
  <c r="AS17" i="59"/>
  <c r="AS18" i="59"/>
  <c r="AS19" i="59"/>
  <c r="AS20" i="59"/>
  <c r="AS21" i="59"/>
  <c r="AS22" i="59"/>
  <c r="AS23" i="59"/>
  <c r="AS24" i="59"/>
  <c r="AS25" i="59"/>
  <c r="AS26" i="59"/>
  <c r="AS27" i="59"/>
  <c r="AS28" i="59"/>
  <c r="AS29" i="59"/>
  <c r="AS30" i="59"/>
  <c r="AS31" i="59"/>
  <c r="AS32" i="59"/>
  <c r="AS33" i="59"/>
  <c r="AS34" i="59"/>
  <c r="AS35" i="59"/>
  <c r="AS36" i="59"/>
  <c r="AS37" i="59"/>
  <c r="AS38" i="59"/>
  <c r="AS39" i="59"/>
  <c r="AS40" i="59"/>
  <c r="AS41" i="59"/>
  <c r="AS42" i="59"/>
  <c r="AS43" i="59"/>
  <c r="AS44" i="59"/>
  <c r="AS5" i="59"/>
  <c r="AR5" i="59"/>
  <c r="AR6" i="59"/>
  <c r="AR7" i="59"/>
  <c r="AR8" i="59"/>
  <c r="AR9" i="59"/>
  <c r="AR10" i="59"/>
  <c r="AR11" i="59"/>
  <c r="AR12" i="59"/>
  <c r="AR13" i="59"/>
  <c r="AR14" i="59"/>
  <c r="AR15" i="59"/>
  <c r="AR16" i="59"/>
  <c r="AR17" i="59"/>
  <c r="AR18" i="59"/>
  <c r="AR19" i="59"/>
  <c r="AR20" i="59"/>
  <c r="AR21" i="59"/>
  <c r="AR22" i="59"/>
  <c r="AR23" i="59"/>
  <c r="AR24" i="59"/>
  <c r="AR25" i="59"/>
  <c r="AR26" i="59"/>
  <c r="AR27" i="59"/>
  <c r="AR28" i="59"/>
  <c r="AR29" i="59"/>
  <c r="AR30" i="59"/>
  <c r="AR31" i="59"/>
  <c r="AR32" i="59"/>
  <c r="AR33" i="59"/>
  <c r="AR34" i="59"/>
  <c r="AR35" i="59"/>
  <c r="AR36" i="59"/>
  <c r="AR37" i="59"/>
  <c r="AR38" i="59"/>
  <c r="AR39" i="59"/>
  <c r="AR40" i="59"/>
  <c r="AR41" i="59"/>
  <c r="AR42" i="59"/>
  <c r="AR43" i="59"/>
  <c r="AR44" i="59"/>
  <c r="AQ6" i="59"/>
  <c r="AQ7" i="59"/>
  <c r="AQ8" i="59"/>
  <c r="AQ9" i="59"/>
  <c r="AQ10" i="59"/>
  <c r="AQ11" i="59"/>
  <c r="AQ12" i="59"/>
  <c r="AQ13" i="59"/>
  <c r="AQ14" i="59"/>
  <c r="AQ15" i="59"/>
  <c r="AQ16" i="59"/>
  <c r="AQ17" i="59"/>
  <c r="AQ18" i="59"/>
  <c r="AQ19" i="59"/>
  <c r="AQ20" i="59"/>
  <c r="AQ21" i="59"/>
  <c r="AQ22" i="59"/>
  <c r="AQ23" i="59"/>
  <c r="AQ24" i="59"/>
  <c r="AQ25" i="59"/>
  <c r="AQ26" i="59"/>
  <c r="AQ27" i="59"/>
  <c r="AQ28" i="59"/>
  <c r="AQ29" i="59"/>
  <c r="AQ30" i="59"/>
  <c r="AQ31" i="59"/>
  <c r="AQ32" i="59"/>
  <c r="AQ33" i="59"/>
  <c r="AQ34" i="59"/>
  <c r="AQ35" i="59"/>
  <c r="AQ36" i="59"/>
  <c r="AQ37" i="59"/>
  <c r="AQ38" i="59"/>
  <c r="AQ39" i="59"/>
  <c r="AQ40" i="59"/>
  <c r="AQ41" i="59"/>
  <c r="AQ42" i="59"/>
  <c r="AQ43" i="59"/>
  <c r="AQ44" i="59"/>
  <c r="AQ5" i="59"/>
  <c r="P3" i="59"/>
  <c r="O3" i="59"/>
  <c r="N3" i="59"/>
  <c r="M3" i="59"/>
  <c r="L3" i="59"/>
  <c r="K3" i="59"/>
  <c r="J46" i="59"/>
  <c r="J45" i="59"/>
  <c r="N44" i="59"/>
  <c r="M44" i="59"/>
  <c r="L44" i="59"/>
  <c r="K44" i="59"/>
  <c r="O44" i="59" s="1"/>
  <c r="N43" i="59"/>
  <c r="M43" i="59"/>
  <c r="L43" i="59"/>
  <c r="K43" i="59"/>
  <c r="P43" i="59" s="1"/>
  <c r="N42" i="59"/>
  <c r="M42" i="59"/>
  <c r="L42" i="59"/>
  <c r="K42" i="59"/>
  <c r="P42" i="59" s="1"/>
  <c r="N41" i="59"/>
  <c r="M41" i="59"/>
  <c r="L41" i="59"/>
  <c r="K41" i="59"/>
  <c r="P41" i="59" s="1"/>
  <c r="N40" i="59"/>
  <c r="M40" i="59"/>
  <c r="L40" i="59"/>
  <c r="K40" i="59"/>
  <c r="O40" i="59" s="1"/>
  <c r="N39" i="59"/>
  <c r="M39" i="59"/>
  <c r="L39" i="59"/>
  <c r="K39" i="59"/>
  <c r="O39" i="59" s="1"/>
  <c r="N38" i="59"/>
  <c r="M38" i="59"/>
  <c r="L38" i="59"/>
  <c r="K38" i="59"/>
  <c r="P38" i="59" s="1"/>
  <c r="N37" i="59"/>
  <c r="M37" i="59"/>
  <c r="L37" i="59"/>
  <c r="K37" i="59"/>
  <c r="P37" i="59" s="1"/>
  <c r="N36" i="59"/>
  <c r="M36" i="59"/>
  <c r="L36" i="59"/>
  <c r="K36" i="59"/>
  <c r="O36" i="59" s="1"/>
  <c r="N35" i="59"/>
  <c r="M35" i="59"/>
  <c r="L35" i="59"/>
  <c r="K35" i="59"/>
  <c r="O35" i="59" s="1"/>
  <c r="N34" i="59"/>
  <c r="M34" i="59"/>
  <c r="L34" i="59"/>
  <c r="K34" i="59"/>
  <c r="P34" i="59" s="1"/>
  <c r="N33" i="59"/>
  <c r="M33" i="59"/>
  <c r="L33" i="59"/>
  <c r="K33" i="59"/>
  <c r="P33" i="59" s="1"/>
  <c r="N32" i="59"/>
  <c r="M32" i="59"/>
  <c r="L32" i="59"/>
  <c r="K32" i="59"/>
  <c r="O32" i="59" s="1"/>
  <c r="N31" i="59"/>
  <c r="M31" i="59"/>
  <c r="L31" i="59"/>
  <c r="K31" i="59"/>
  <c r="O31" i="59" s="1"/>
  <c r="N30" i="59"/>
  <c r="M30" i="59"/>
  <c r="L30" i="59"/>
  <c r="K30" i="59"/>
  <c r="P30" i="59" s="1"/>
  <c r="N29" i="59"/>
  <c r="M29" i="59"/>
  <c r="L29" i="59"/>
  <c r="K29" i="59"/>
  <c r="P29" i="59" s="1"/>
  <c r="N28" i="59"/>
  <c r="M28" i="59"/>
  <c r="L28" i="59"/>
  <c r="K28" i="59"/>
  <c r="O28" i="59" s="1"/>
  <c r="N27" i="59"/>
  <c r="M27" i="59"/>
  <c r="L27" i="59"/>
  <c r="K27" i="59"/>
  <c r="O27" i="59" s="1"/>
  <c r="N26" i="59"/>
  <c r="M26" i="59"/>
  <c r="L26" i="59"/>
  <c r="K26" i="59"/>
  <c r="P26" i="59" s="1"/>
  <c r="N25" i="59"/>
  <c r="M25" i="59"/>
  <c r="L25" i="59"/>
  <c r="K25" i="59"/>
  <c r="P25" i="59" s="1"/>
  <c r="N24" i="59"/>
  <c r="M24" i="59"/>
  <c r="L24" i="59"/>
  <c r="K24" i="59"/>
  <c r="P24" i="59" s="1"/>
  <c r="N23" i="59"/>
  <c r="M23" i="59"/>
  <c r="L23" i="59"/>
  <c r="K23" i="59"/>
  <c r="P23" i="59" s="1"/>
  <c r="N22" i="59"/>
  <c r="M22" i="59"/>
  <c r="L22" i="59"/>
  <c r="K22" i="59"/>
  <c r="O22" i="59" s="1"/>
  <c r="N21" i="59"/>
  <c r="M21" i="59"/>
  <c r="L21" i="59"/>
  <c r="K21" i="59"/>
  <c r="O21" i="59" s="1"/>
  <c r="N20" i="59"/>
  <c r="M20" i="59"/>
  <c r="L20" i="59"/>
  <c r="K20" i="59"/>
  <c r="P20" i="59" s="1"/>
  <c r="N19" i="59"/>
  <c r="M19" i="59"/>
  <c r="L19" i="59"/>
  <c r="K19" i="59"/>
  <c r="P19" i="59" s="1"/>
  <c r="N18" i="59"/>
  <c r="M18" i="59"/>
  <c r="L18" i="59"/>
  <c r="K18" i="59"/>
  <c r="P18" i="59" s="1"/>
  <c r="N17" i="59"/>
  <c r="M17" i="59"/>
  <c r="L17" i="59"/>
  <c r="K17" i="59"/>
  <c r="P17" i="59" s="1"/>
  <c r="N16" i="59"/>
  <c r="M16" i="59"/>
  <c r="L16" i="59"/>
  <c r="K16" i="59"/>
  <c r="P16" i="59" s="1"/>
  <c r="N15" i="59"/>
  <c r="M15" i="59"/>
  <c r="L15" i="59"/>
  <c r="K15" i="59"/>
  <c r="P15" i="59" s="1"/>
  <c r="N14" i="59"/>
  <c r="M14" i="59"/>
  <c r="L14" i="59"/>
  <c r="K14" i="59"/>
  <c r="O14" i="59" s="1"/>
  <c r="N13" i="59"/>
  <c r="M13" i="59"/>
  <c r="L13" i="59"/>
  <c r="K13" i="59"/>
  <c r="P13" i="59" s="1"/>
  <c r="N12" i="59"/>
  <c r="M12" i="59"/>
  <c r="L12" i="59"/>
  <c r="K12" i="59"/>
  <c r="P12" i="59" s="1"/>
  <c r="N11" i="59"/>
  <c r="N10" i="59"/>
  <c r="M10" i="59"/>
  <c r="L10" i="59"/>
  <c r="K10" i="59"/>
  <c r="P10" i="59" s="1"/>
  <c r="N9" i="59"/>
  <c r="M9" i="59"/>
  <c r="L9" i="59"/>
  <c r="K9" i="59"/>
  <c r="P9" i="59" s="1"/>
  <c r="N8" i="59"/>
  <c r="M8" i="59"/>
  <c r="L8" i="59"/>
  <c r="K8" i="59"/>
  <c r="P8" i="59" s="1"/>
  <c r="N7" i="59"/>
  <c r="N6" i="59"/>
  <c r="M6" i="59"/>
  <c r="L6" i="59"/>
  <c r="K6" i="59"/>
  <c r="P6" i="59" s="1"/>
  <c r="N5" i="59"/>
  <c r="M5" i="59"/>
  <c r="L5" i="59"/>
  <c r="K5" i="59"/>
  <c r="E8" i="59"/>
  <c r="F8" i="59" s="1"/>
  <c r="E12" i="59"/>
  <c r="F12" i="59" s="1"/>
  <c r="E14" i="59"/>
  <c r="F14" i="59" s="1"/>
  <c r="E15" i="59"/>
  <c r="F15" i="59" s="1"/>
  <c r="E16" i="59"/>
  <c r="F16" i="59" s="1"/>
  <c r="E17" i="59"/>
  <c r="F17" i="59" s="1"/>
  <c r="E18" i="59"/>
  <c r="E19" i="59"/>
  <c r="E20" i="59"/>
  <c r="F20" i="59" s="1"/>
  <c r="E21" i="59"/>
  <c r="F21" i="59" s="1"/>
  <c r="E22" i="59"/>
  <c r="F22" i="59" s="1"/>
  <c r="E23" i="59"/>
  <c r="F23" i="59" s="1"/>
  <c r="E24" i="59"/>
  <c r="F24" i="59" s="1"/>
  <c r="E25" i="59"/>
  <c r="F25" i="59" s="1"/>
  <c r="E26" i="59"/>
  <c r="F26" i="59" s="1"/>
  <c r="E27" i="59"/>
  <c r="F27" i="59" s="1"/>
  <c r="E28" i="59"/>
  <c r="F28" i="59" s="1"/>
  <c r="E29" i="59"/>
  <c r="F29" i="59" s="1"/>
  <c r="E30" i="59"/>
  <c r="F30" i="59" s="1"/>
  <c r="E31" i="59"/>
  <c r="F31" i="59" s="1"/>
  <c r="E32" i="59"/>
  <c r="F32" i="59" s="1"/>
  <c r="E33" i="59"/>
  <c r="F33" i="59" s="1"/>
  <c r="E34" i="59"/>
  <c r="F34" i="59" s="1"/>
  <c r="E35" i="59"/>
  <c r="F35" i="59" s="1"/>
  <c r="E36" i="59"/>
  <c r="F36" i="59" s="1"/>
  <c r="E37" i="59"/>
  <c r="F37" i="59" s="1"/>
  <c r="E38" i="59"/>
  <c r="F38" i="59" s="1"/>
  <c r="E39" i="59"/>
  <c r="F39" i="59" s="1"/>
  <c r="E40" i="59"/>
  <c r="F40" i="59" s="1"/>
  <c r="E41" i="59"/>
  <c r="F41" i="59" s="1"/>
  <c r="E42" i="59"/>
  <c r="F42" i="59" s="1"/>
  <c r="E43" i="59"/>
  <c r="F43" i="59" s="1"/>
  <c r="E44" i="59"/>
  <c r="F44" i="59" s="1"/>
  <c r="C15" i="57"/>
  <c r="C16" i="57" s="1"/>
  <c r="B15" i="57"/>
  <c r="B16" i="57" s="1"/>
  <c r="C14" i="57"/>
  <c r="B14" i="57"/>
  <c r="D7" i="57"/>
  <c r="H7" i="57" s="1"/>
  <c r="E7" i="57"/>
  <c r="F7" i="57"/>
  <c r="G7" i="57"/>
  <c r="D8" i="57"/>
  <c r="H8" i="57" s="1"/>
  <c r="E8" i="57"/>
  <c r="F8" i="57"/>
  <c r="G8" i="57"/>
  <c r="D9" i="57"/>
  <c r="H9" i="57" s="1"/>
  <c r="E9" i="57"/>
  <c r="F9" i="57"/>
  <c r="G9" i="57"/>
  <c r="D10" i="57"/>
  <c r="H10" i="57" s="1"/>
  <c r="E10" i="57"/>
  <c r="F10" i="57"/>
  <c r="G10" i="57"/>
  <c r="D11" i="57"/>
  <c r="E11" i="57"/>
  <c r="F11" i="57"/>
  <c r="G11" i="57"/>
  <c r="H11" i="57"/>
  <c r="I11" i="57"/>
  <c r="D12" i="57"/>
  <c r="I12" i="57" s="1"/>
  <c r="E12" i="57"/>
  <c r="F12" i="57"/>
  <c r="G12" i="57"/>
  <c r="D13" i="57"/>
  <c r="E13" i="57"/>
  <c r="F13" i="57"/>
  <c r="G13" i="57"/>
  <c r="H13" i="57"/>
  <c r="I13" i="57"/>
  <c r="AM13" i="59"/>
  <c r="AM11" i="59"/>
  <c r="AL11" i="59"/>
  <c r="AN8" i="59"/>
  <c r="AO8" i="59" s="1"/>
  <c r="AN7" i="59"/>
  <c r="AO7" i="59" s="1"/>
  <c r="E6" i="59"/>
  <c r="AN6" i="59"/>
  <c r="AO6" i="59" s="1"/>
  <c r="AN5" i="59"/>
  <c r="AO5" i="59" s="1"/>
  <c r="S126" i="58"/>
  <c r="R126" i="58"/>
  <c r="O126" i="58"/>
  <c r="N126" i="58"/>
  <c r="M126" i="58"/>
  <c r="L126" i="58"/>
  <c r="S125" i="58"/>
  <c r="R125" i="58"/>
  <c r="O125" i="58"/>
  <c r="N125" i="58"/>
  <c r="M125" i="58"/>
  <c r="L125" i="58"/>
  <c r="S124" i="58"/>
  <c r="R124" i="58"/>
  <c r="O124" i="58"/>
  <c r="N124" i="58"/>
  <c r="M124" i="58"/>
  <c r="P124" i="58" s="1"/>
  <c r="L124" i="58"/>
  <c r="S123" i="58"/>
  <c r="R123" i="58"/>
  <c r="P123" i="58"/>
  <c r="O123" i="58"/>
  <c r="N123" i="58"/>
  <c r="M123" i="58"/>
  <c r="L123" i="58"/>
  <c r="S122" i="58"/>
  <c r="R122" i="58"/>
  <c r="O122" i="58"/>
  <c r="N122" i="58"/>
  <c r="P122" i="58" s="1"/>
  <c r="M122" i="58"/>
  <c r="L122" i="58"/>
  <c r="S121" i="58"/>
  <c r="R121" i="58"/>
  <c r="O121" i="58"/>
  <c r="N121" i="58"/>
  <c r="M121" i="58"/>
  <c r="L121" i="58"/>
  <c r="S120" i="58"/>
  <c r="R120" i="58"/>
  <c r="O120" i="58"/>
  <c r="N120" i="58"/>
  <c r="M120" i="58"/>
  <c r="L120" i="58"/>
  <c r="S119" i="58"/>
  <c r="R119" i="58"/>
  <c r="O119" i="58"/>
  <c r="N119" i="58"/>
  <c r="M119" i="58"/>
  <c r="L119" i="58"/>
  <c r="S118" i="58"/>
  <c r="R118" i="58"/>
  <c r="O118" i="58"/>
  <c r="N118" i="58"/>
  <c r="M118" i="58"/>
  <c r="L118" i="58"/>
  <c r="S117" i="58"/>
  <c r="R117" i="58"/>
  <c r="O117" i="58"/>
  <c r="N117" i="58"/>
  <c r="M117" i="58"/>
  <c r="L117" i="58"/>
  <c r="P117" i="58" s="1"/>
  <c r="S116" i="58"/>
  <c r="R116" i="58"/>
  <c r="O116" i="58"/>
  <c r="N116" i="58"/>
  <c r="M116" i="58"/>
  <c r="L116" i="58"/>
  <c r="S115" i="58"/>
  <c r="R115" i="58"/>
  <c r="P115" i="58"/>
  <c r="O115" i="58"/>
  <c r="N115" i="58"/>
  <c r="M115" i="58"/>
  <c r="L115" i="58"/>
  <c r="S114" i="58"/>
  <c r="R114" i="58"/>
  <c r="O114" i="58"/>
  <c r="N114" i="58"/>
  <c r="M114" i="58"/>
  <c r="L114" i="58"/>
  <c r="S113" i="58"/>
  <c r="R113" i="58"/>
  <c r="O113" i="58"/>
  <c r="N113" i="58"/>
  <c r="M113" i="58"/>
  <c r="P113" i="58" s="1"/>
  <c r="L113" i="58"/>
  <c r="S112" i="58"/>
  <c r="R112" i="58"/>
  <c r="O112" i="58"/>
  <c r="N112" i="58"/>
  <c r="M112" i="58"/>
  <c r="L112" i="58"/>
  <c r="S111" i="58"/>
  <c r="R111" i="58"/>
  <c r="O111" i="58"/>
  <c r="N111" i="58"/>
  <c r="M111" i="58"/>
  <c r="L111" i="58"/>
  <c r="S110" i="58"/>
  <c r="R110" i="58"/>
  <c r="O110" i="58"/>
  <c r="N110" i="58"/>
  <c r="M110" i="58"/>
  <c r="L110" i="58"/>
  <c r="S109" i="58"/>
  <c r="R109" i="58"/>
  <c r="O109" i="58"/>
  <c r="N109" i="58"/>
  <c r="M109" i="58"/>
  <c r="L109" i="58"/>
  <c r="S108" i="58"/>
  <c r="R108" i="58"/>
  <c r="O108" i="58"/>
  <c r="N108" i="58"/>
  <c r="M108" i="58"/>
  <c r="L108" i="58"/>
  <c r="S107" i="58"/>
  <c r="R107" i="58"/>
  <c r="P107" i="58"/>
  <c r="O107" i="58"/>
  <c r="N107" i="58"/>
  <c r="M107" i="58"/>
  <c r="L107" i="58"/>
  <c r="S106" i="58"/>
  <c r="R106" i="58"/>
  <c r="O106" i="58"/>
  <c r="N106" i="58"/>
  <c r="M106" i="58"/>
  <c r="L106" i="58"/>
  <c r="S105" i="58"/>
  <c r="R105" i="58"/>
  <c r="O105" i="58"/>
  <c r="N105" i="58"/>
  <c r="M105" i="58"/>
  <c r="L105" i="58"/>
  <c r="S104" i="58"/>
  <c r="R104" i="58"/>
  <c r="O104" i="58"/>
  <c r="N104" i="58"/>
  <c r="M104" i="58"/>
  <c r="L104" i="58"/>
  <c r="P104" i="58" s="1"/>
  <c r="S103" i="58"/>
  <c r="R103" i="58"/>
  <c r="O103" i="58"/>
  <c r="N103" i="58"/>
  <c r="M103" i="58"/>
  <c r="L103" i="58"/>
  <c r="S102" i="58"/>
  <c r="R102" i="58"/>
  <c r="O102" i="58"/>
  <c r="N102" i="58"/>
  <c r="M102" i="58"/>
  <c r="L102" i="58"/>
  <c r="S101" i="58"/>
  <c r="R101" i="58"/>
  <c r="O101" i="58"/>
  <c r="N101" i="58"/>
  <c r="M101" i="58"/>
  <c r="L101" i="58"/>
  <c r="S100" i="58"/>
  <c r="R100" i="58"/>
  <c r="O100" i="58"/>
  <c r="N100" i="58"/>
  <c r="M100" i="58"/>
  <c r="L100" i="58"/>
  <c r="S99" i="58"/>
  <c r="R99" i="58"/>
  <c r="O99" i="58"/>
  <c r="N99" i="58"/>
  <c r="M99" i="58"/>
  <c r="L99" i="58"/>
  <c r="P99" i="58" s="1"/>
  <c r="S98" i="58"/>
  <c r="R98" i="58"/>
  <c r="O98" i="58"/>
  <c r="N98" i="58"/>
  <c r="M98" i="58"/>
  <c r="L98" i="58"/>
  <c r="S97" i="58"/>
  <c r="R97" i="58"/>
  <c r="O97" i="58"/>
  <c r="N97" i="58"/>
  <c r="M97" i="58"/>
  <c r="L97" i="58"/>
  <c r="S96" i="58"/>
  <c r="R96" i="58"/>
  <c r="O96" i="58"/>
  <c r="N96" i="58"/>
  <c r="M96" i="58"/>
  <c r="L96" i="58"/>
  <c r="S95" i="58"/>
  <c r="R95" i="58"/>
  <c r="O95" i="58"/>
  <c r="N95" i="58"/>
  <c r="M95" i="58"/>
  <c r="L95" i="58"/>
  <c r="S94" i="58"/>
  <c r="R94" i="58"/>
  <c r="O94" i="58"/>
  <c r="N94" i="58"/>
  <c r="M94" i="58"/>
  <c r="L94" i="58"/>
  <c r="S93" i="58"/>
  <c r="R93" i="58"/>
  <c r="O93" i="58"/>
  <c r="N93" i="58"/>
  <c r="M93" i="58"/>
  <c r="L93" i="58"/>
  <c r="S92" i="58"/>
  <c r="R92" i="58"/>
  <c r="O92" i="58"/>
  <c r="N92" i="58"/>
  <c r="M92" i="58"/>
  <c r="P92" i="58" s="1"/>
  <c r="L92" i="58"/>
  <c r="S91" i="58"/>
  <c r="R91" i="58"/>
  <c r="O91" i="58"/>
  <c r="N91" i="58"/>
  <c r="M91" i="58"/>
  <c r="L91" i="58"/>
  <c r="P91" i="58" s="1"/>
  <c r="S90" i="58"/>
  <c r="R90" i="58"/>
  <c r="O90" i="58"/>
  <c r="N90" i="58"/>
  <c r="P90" i="58" s="1"/>
  <c r="M90" i="58"/>
  <c r="L90" i="58"/>
  <c r="S89" i="58"/>
  <c r="R89" i="58"/>
  <c r="O89" i="58"/>
  <c r="N89" i="58"/>
  <c r="M89" i="58"/>
  <c r="L89" i="58"/>
  <c r="S88" i="58"/>
  <c r="R88" i="58"/>
  <c r="O88" i="58"/>
  <c r="N88" i="58"/>
  <c r="M88" i="58"/>
  <c r="L88" i="58"/>
  <c r="S87" i="58"/>
  <c r="R87" i="58"/>
  <c r="O87" i="58"/>
  <c r="N87" i="58"/>
  <c r="M87" i="58"/>
  <c r="L87" i="58"/>
  <c r="P87" i="58" s="1"/>
  <c r="S86" i="58"/>
  <c r="R86" i="58"/>
  <c r="O86" i="58"/>
  <c r="N86" i="58"/>
  <c r="M86" i="58"/>
  <c r="L86" i="58"/>
  <c r="S85" i="58"/>
  <c r="R85" i="58"/>
  <c r="O85" i="58"/>
  <c r="N85" i="58"/>
  <c r="M85" i="58"/>
  <c r="L85" i="58"/>
  <c r="S84" i="58"/>
  <c r="R84" i="58"/>
  <c r="O84" i="58"/>
  <c r="N84" i="58"/>
  <c r="M84" i="58"/>
  <c r="L84" i="58"/>
  <c r="S83" i="58"/>
  <c r="R83" i="58"/>
  <c r="O83" i="58"/>
  <c r="N83" i="58"/>
  <c r="M83" i="58"/>
  <c r="L83" i="58"/>
  <c r="P83" i="58" s="1"/>
  <c r="S82" i="58"/>
  <c r="R82" i="58"/>
  <c r="O82" i="58"/>
  <c r="N82" i="58"/>
  <c r="M82" i="58"/>
  <c r="L82" i="58"/>
  <c r="S81" i="58"/>
  <c r="R81" i="58"/>
  <c r="O81" i="58"/>
  <c r="N81" i="58"/>
  <c r="M81" i="58"/>
  <c r="L81" i="58"/>
  <c r="S80" i="58"/>
  <c r="R80" i="58"/>
  <c r="O80" i="58"/>
  <c r="N80" i="58"/>
  <c r="M80" i="58"/>
  <c r="L80" i="58"/>
  <c r="S79" i="58"/>
  <c r="R79" i="58"/>
  <c r="O79" i="58"/>
  <c r="N79" i="58"/>
  <c r="M79" i="58"/>
  <c r="L79" i="58"/>
  <c r="S78" i="58"/>
  <c r="R78" i="58"/>
  <c r="O78" i="58"/>
  <c r="N78" i="58"/>
  <c r="M78" i="58"/>
  <c r="L78" i="58"/>
  <c r="S77" i="58"/>
  <c r="R77" i="58"/>
  <c r="O77" i="58"/>
  <c r="N77" i="58"/>
  <c r="M77" i="58"/>
  <c r="L77" i="58"/>
  <c r="S76" i="58"/>
  <c r="R76" i="58"/>
  <c r="O76" i="58"/>
  <c r="N76" i="58"/>
  <c r="M76" i="58"/>
  <c r="L76" i="58"/>
  <c r="S75" i="58"/>
  <c r="R75" i="58"/>
  <c r="O75" i="58"/>
  <c r="N75" i="58"/>
  <c r="M75" i="58"/>
  <c r="L75" i="58"/>
  <c r="P75" i="58" s="1"/>
  <c r="S74" i="58"/>
  <c r="R74" i="58"/>
  <c r="O74" i="58"/>
  <c r="N74" i="58"/>
  <c r="M74" i="58"/>
  <c r="L74" i="58"/>
  <c r="S73" i="58"/>
  <c r="R73" i="58"/>
  <c r="O73" i="58"/>
  <c r="N73" i="58"/>
  <c r="M73" i="58"/>
  <c r="L73" i="58"/>
  <c r="S72" i="58"/>
  <c r="R72" i="58"/>
  <c r="O72" i="58"/>
  <c r="N72" i="58"/>
  <c r="M72" i="58"/>
  <c r="L72" i="58"/>
  <c r="S71" i="58"/>
  <c r="R71" i="58"/>
  <c r="O71" i="58"/>
  <c r="N71" i="58"/>
  <c r="M71" i="58"/>
  <c r="L71" i="58"/>
  <c r="S70" i="58"/>
  <c r="R70" i="58"/>
  <c r="O70" i="58"/>
  <c r="N70" i="58"/>
  <c r="M70" i="58"/>
  <c r="L70" i="58"/>
  <c r="P70" i="58" s="1"/>
  <c r="S69" i="58"/>
  <c r="R69" i="58"/>
  <c r="O69" i="58"/>
  <c r="N69" i="58"/>
  <c r="M69" i="58"/>
  <c r="L69" i="58"/>
  <c r="S68" i="58"/>
  <c r="R68" i="58"/>
  <c r="O68" i="58"/>
  <c r="N68" i="58"/>
  <c r="M68" i="58"/>
  <c r="L68" i="58"/>
  <c r="S67" i="58"/>
  <c r="R67" i="58"/>
  <c r="O67" i="58"/>
  <c r="N67" i="58"/>
  <c r="M67" i="58"/>
  <c r="L67" i="58"/>
  <c r="P67" i="58" s="1"/>
  <c r="S66" i="58"/>
  <c r="R66" i="58"/>
  <c r="O66" i="58"/>
  <c r="N66" i="58"/>
  <c r="M66" i="58"/>
  <c r="L66" i="58"/>
  <c r="S65" i="58"/>
  <c r="R65" i="58"/>
  <c r="O65" i="58"/>
  <c r="N65" i="58"/>
  <c r="M65" i="58"/>
  <c r="L65" i="58"/>
  <c r="S64" i="58"/>
  <c r="R64" i="58"/>
  <c r="O64" i="58"/>
  <c r="N64" i="58"/>
  <c r="M64" i="58"/>
  <c r="L64" i="58"/>
  <c r="S63" i="58"/>
  <c r="R63" i="58"/>
  <c r="O63" i="58"/>
  <c r="N63" i="58"/>
  <c r="M63" i="58"/>
  <c r="L63" i="58"/>
  <c r="S62" i="58"/>
  <c r="R62" i="58"/>
  <c r="O62" i="58"/>
  <c r="N62" i="58"/>
  <c r="M62" i="58"/>
  <c r="L62" i="58"/>
  <c r="S61" i="58"/>
  <c r="R61" i="58"/>
  <c r="O61" i="58"/>
  <c r="N61" i="58"/>
  <c r="M61" i="58"/>
  <c r="L61" i="58"/>
  <c r="S60" i="58"/>
  <c r="R60" i="58"/>
  <c r="O60" i="58"/>
  <c r="N60" i="58"/>
  <c r="M60" i="58"/>
  <c r="P60" i="58" s="1"/>
  <c r="L60" i="58"/>
  <c r="S59" i="58"/>
  <c r="R59" i="58"/>
  <c r="P59" i="58"/>
  <c r="O59" i="58"/>
  <c r="N59" i="58"/>
  <c r="M59" i="58"/>
  <c r="L59" i="58"/>
  <c r="S58" i="58"/>
  <c r="R58" i="58"/>
  <c r="O58" i="58"/>
  <c r="N58" i="58"/>
  <c r="P58" i="58" s="1"/>
  <c r="M58" i="58"/>
  <c r="L58" i="58"/>
  <c r="S57" i="58"/>
  <c r="R57" i="58"/>
  <c r="O57" i="58"/>
  <c r="N57" i="58"/>
  <c r="M57" i="58"/>
  <c r="L57" i="58"/>
  <c r="S56" i="58"/>
  <c r="R56" i="58"/>
  <c r="O56" i="58"/>
  <c r="N56" i="58"/>
  <c r="M56" i="58"/>
  <c r="L56" i="58"/>
  <c r="S55" i="58"/>
  <c r="R55" i="58"/>
  <c r="O55" i="58"/>
  <c r="N55" i="58"/>
  <c r="M55" i="58"/>
  <c r="L55" i="58"/>
  <c r="S54" i="58"/>
  <c r="R54" i="58"/>
  <c r="O54" i="58"/>
  <c r="N54" i="58"/>
  <c r="M54" i="58"/>
  <c r="L54" i="58"/>
  <c r="S53" i="58"/>
  <c r="R53" i="58"/>
  <c r="O53" i="58"/>
  <c r="N53" i="58"/>
  <c r="M53" i="58"/>
  <c r="L53" i="58"/>
  <c r="P53" i="58" s="1"/>
  <c r="S52" i="58"/>
  <c r="R52" i="58"/>
  <c r="O52" i="58"/>
  <c r="N52" i="58"/>
  <c r="M52" i="58"/>
  <c r="L52" i="58"/>
  <c r="S51" i="58"/>
  <c r="R51" i="58"/>
  <c r="P51" i="58"/>
  <c r="O51" i="58"/>
  <c r="N51" i="58"/>
  <c r="M51" i="58"/>
  <c r="L51" i="58"/>
  <c r="S50" i="58"/>
  <c r="R50" i="58"/>
  <c r="O50" i="58"/>
  <c r="N50" i="58"/>
  <c r="M50" i="58"/>
  <c r="L50" i="58"/>
  <c r="S49" i="58"/>
  <c r="R49" i="58"/>
  <c r="O49" i="58"/>
  <c r="N49" i="58"/>
  <c r="M49" i="58"/>
  <c r="P49" i="58" s="1"/>
  <c r="L49" i="58"/>
  <c r="S48" i="58"/>
  <c r="R48" i="58"/>
  <c r="O48" i="58"/>
  <c r="N48" i="58"/>
  <c r="M48" i="58"/>
  <c r="L48" i="58"/>
  <c r="S47" i="58"/>
  <c r="R47" i="58"/>
  <c r="O47" i="58"/>
  <c r="N47" i="58"/>
  <c r="M47" i="58"/>
  <c r="L47" i="58"/>
  <c r="S46" i="58"/>
  <c r="R46" i="58"/>
  <c r="O46" i="58"/>
  <c r="N46" i="58"/>
  <c r="M46" i="58"/>
  <c r="L46" i="58"/>
  <c r="S45" i="58"/>
  <c r="R45" i="58"/>
  <c r="O45" i="58"/>
  <c r="N45" i="58"/>
  <c r="M45" i="58"/>
  <c r="L45" i="58"/>
  <c r="S44" i="58"/>
  <c r="R44" i="58"/>
  <c r="O44" i="58"/>
  <c r="N44" i="58"/>
  <c r="M44" i="58"/>
  <c r="L44" i="58"/>
  <c r="S43" i="58"/>
  <c r="R43" i="58"/>
  <c r="O43" i="58"/>
  <c r="N43" i="58"/>
  <c r="P43" i="58" s="1"/>
  <c r="M43" i="58"/>
  <c r="L43" i="58"/>
  <c r="S42" i="58"/>
  <c r="R42" i="58"/>
  <c r="O42" i="58"/>
  <c r="N42" i="58"/>
  <c r="M42" i="58"/>
  <c r="L42" i="58"/>
  <c r="S41" i="58"/>
  <c r="R41" i="58"/>
  <c r="O41" i="58"/>
  <c r="N41" i="58"/>
  <c r="M41" i="58"/>
  <c r="L41" i="58"/>
  <c r="S40" i="58"/>
  <c r="R40" i="58"/>
  <c r="O40" i="58"/>
  <c r="N40" i="58"/>
  <c r="M40" i="58"/>
  <c r="L40" i="58"/>
  <c r="P40" i="58" s="1"/>
  <c r="S39" i="58"/>
  <c r="R39" i="58"/>
  <c r="O39" i="58"/>
  <c r="N39" i="58"/>
  <c r="M39" i="58"/>
  <c r="L39" i="58"/>
  <c r="S38" i="58"/>
  <c r="R38" i="58"/>
  <c r="O38" i="58"/>
  <c r="N38" i="58"/>
  <c r="M38" i="58"/>
  <c r="L38" i="58"/>
  <c r="S37" i="58"/>
  <c r="R37" i="58"/>
  <c r="O37" i="58"/>
  <c r="N37" i="58"/>
  <c r="M37" i="58"/>
  <c r="L37" i="58"/>
  <c r="S36" i="58"/>
  <c r="R36" i="58"/>
  <c r="O36" i="58"/>
  <c r="N36" i="58"/>
  <c r="M36" i="58"/>
  <c r="L36" i="58"/>
  <c r="S35" i="58"/>
  <c r="R35" i="58"/>
  <c r="O35" i="58"/>
  <c r="N35" i="58"/>
  <c r="M35" i="58"/>
  <c r="L35" i="58"/>
  <c r="P35" i="58" s="1"/>
  <c r="S34" i="58"/>
  <c r="R34" i="58"/>
  <c r="O34" i="58"/>
  <c r="N34" i="58"/>
  <c r="M34" i="58"/>
  <c r="L34" i="58"/>
  <c r="S33" i="58"/>
  <c r="R33" i="58"/>
  <c r="O33" i="58"/>
  <c r="N33" i="58"/>
  <c r="M33" i="58"/>
  <c r="L33" i="58"/>
  <c r="S32" i="58"/>
  <c r="R32" i="58"/>
  <c r="O32" i="58"/>
  <c r="N32" i="58"/>
  <c r="M32" i="58"/>
  <c r="L32" i="58"/>
  <c r="S31" i="58"/>
  <c r="R31" i="58"/>
  <c r="O31" i="58"/>
  <c r="N31" i="58"/>
  <c r="M31" i="58"/>
  <c r="L31" i="58"/>
  <c r="S30" i="58"/>
  <c r="R30" i="58"/>
  <c r="O30" i="58"/>
  <c r="N30" i="58"/>
  <c r="M30" i="58"/>
  <c r="L30" i="58"/>
  <c r="S29" i="58"/>
  <c r="R29" i="58"/>
  <c r="O29" i="58"/>
  <c r="N29" i="58"/>
  <c r="M29" i="58"/>
  <c r="L29" i="58"/>
  <c r="S28" i="58"/>
  <c r="R28" i="58"/>
  <c r="O28" i="58"/>
  <c r="N28" i="58"/>
  <c r="M28" i="58"/>
  <c r="P28" i="58" s="1"/>
  <c r="L28" i="58"/>
  <c r="S27" i="58"/>
  <c r="R27" i="58"/>
  <c r="O27" i="58"/>
  <c r="N27" i="58"/>
  <c r="M27" i="58"/>
  <c r="L27" i="58"/>
  <c r="P27" i="58" s="1"/>
  <c r="S26" i="58"/>
  <c r="R26" i="58"/>
  <c r="O26" i="58"/>
  <c r="N26" i="58"/>
  <c r="P26" i="58" s="1"/>
  <c r="M26" i="58"/>
  <c r="L26" i="58"/>
  <c r="S25" i="58"/>
  <c r="R25" i="58"/>
  <c r="O25" i="58"/>
  <c r="N25" i="58"/>
  <c r="M25" i="58"/>
  <c r="L25" i="58"/>
  <c r="S24" i="58"/>
  <c r="R24" i="58"/>
  <c r="O24" i="58"/>
  <c r="N24" i="58"/>
  <c r="M24" i="58"/>
  <c r="L24" i="58"/>
  <c r="S23" i="58"/>
  <c r="R23" i="58"/>
  <c r="O23" i="58"/>
  <c r="N23" i="58"/>
  <c r="M23" i="58"/>
  <c r="L23" i="58"/>
  <c r="P23" i="58" s="1"/>
  <c r="S22" i="58"/>
  <c r="R22" i="58"/>
  <c r="O22" i="58"/>
  <c r="N22" i="58"/>
  <c r="M22" i="58"/>
  <c r="L22" i="58"/>
  <c r="S21" i="58"/>
  <c r="R21" i="58"/>
  <c r="O21" i="58"/>
  <c r="N21" i="58"/>
  <c r="M21" i="58"/>
  <c r="L21" i="58"/>
  <c r="S20" i="58"/>
  <c r="R20" i="58"/>
  <c r="O20" i="58"/>
  <c r="N20" i="58"/>
  <c r="M20" i="58"/>
  <c r="L20" i="58"/>
  <c r="S19" i="58"/>
  <c r="R19" i="58"/>
  <c r="O19" i="58"/>
  <c r="N19" i="58"/>
  <c r="M19" i="58"/>
  <c r="L19" i="58"/>
  <c r="P19" i="58" s="1"/>
  <c r="S18" i="58"/>
  <c r="R18" i="58"/>
  <c r="O18" i="58"/>
  <c r="N18" i="58"/>
  <c r="M18" i="58"/>
  <c r="L18" i="58"/>
  <c r="S17" i="58"/>
  <c r="R17" i="58"/>
  <c r="O17" i="58"/>
  <c r="N17" i="58"/>
  <c r="M17" i="58"/>
  <c r="L17" i="58"/>
  <c r="S16" i="58"/>
  <c r="R16" i="58"/>
  <c r="O16" i="58"/>
  <c r="N16" i="58"/>
  <c r="M16" i="58"/>
  <c r="L16" i="58"/>
  <c r="S15" i="58"/>
  <c r="R15" i="58"/>
  <c r="O15" i="58"/>
  <c r="N15" i="58"/>
  <c r="M15" i="58"/>
  <c r="L15" i="58"/>
  <c r="S14" i="58"/>
  <c r="R14" i="58"/>
  <c r="O14" i="58"/>
  <c r="N14" i="58"/>
  <c r="M14" i="58"/>
  <c r="L14" i="58"/>
  <c r="S13" i="58"/>
  <c r="R13" i="58"/>
  <c r="O13" i="58"/>
  <c r="N13" i="58"/>
  <c r="M13" i="58"/>
  <c r="L13" i="58"/>
  <c r="S12" i="58"/>
  <c r="R12" i="58"/>
  <c r="O12" i="58"/>
  <c r="N12" i="58"/>
  <c r="M12" i="58"/>
  <c r="L12" i="58"/>
  <c r="S11" i="58"/>
  <c r="R11" i="58"/>
  <c r="O11" i="58"/>
  <c r="N11" i="58"/>
  <c r="M11" i="58"/>
  <c r="L11" i="58"/>
  <c r="P11" i="58" s="1"/>
  <c r="X10" i="58"/>
  <c r="S10" i="58"/>
  <c r="R10" i="58"/>
  <c r="O10" i="58"/>
  <c r="N10" i="58"/>
  <c r="M10" i="58"/>
  <c r="L10" i="58"/>
  <c r="P10" i="58" s="1"/>
  <c r="S9" i="58"/>
  <c r="R9" i="58"/>
  <c r="O9" i="58"/>
  <c r="N9" i="58"/>
  <c r="M9" i="58"/>
  <c r="L9" i="58"/>
  <c r="S8" i="58"/>
  <c r="R8" i="58"/>
  <c r="O8" i="58"/>
  <c r="N8" i="58"/>
  <c r="M8" i="58"/>
  <c r="L8" i="58"/>
  <c r="AA7" i="58"/>
  <c r="Z7" i="58"/>
  <c r="Y7" i="58"/>
  <c r="X7" i="58"/>
  <c r="S7" i="58"/>
  <c r="R7" i="58"/>
  <c r="O7" i="58"/>
  <c r="N7" i="58"/>
  <c r="M7" i="58"/>
  <c r="L7" i="58"/>
  <c r="P7" i="58" s="1"/>
  <c r="AA6" i="58"/>
  <c r="Z6" i="58"/>
  <c r="Y6" i="58"/>
  <c r="X6" i="58"/>
  <c r="S6" i="58"/>
  <c r="R6" i="58"/>
  <c r="O6" i="58"/>
  <c r="N6" i="58"/>
  <c r="M6" i="58"/>
  <c r="P6" i="58" s="1"/>
  <c r="L6" i="58"/>
  <c r="AA5" i="58"/>
  <c r="Z5" i="58"/>
  <c r="Y5" i="58"/>
  <c r="X5" i="58"/>
  <c r="S5" i="58"/>
  <c r="R5" i="58"/>
  <c r="O5" i="58"/>
  <c r="N5" i="58"/>
  <c r="M5" i="58"/>
  <c r="L5" i="58"/>
  <c r="AA4" i="58"/>
  <c r="Z4" i="58"/>
  <c r="Y4" i="58"/>
  <c r="X4" i="58"/>
  <c r="S4" i="58"/>
  <c r="R4" i="58"/>
  <c r="AD5" i="58" s="1"/>
  <c r="O4" i="58"/>
  <c r="AD4" i="58" s="1"/>
  <c r="N4" i="58"/>
  <c r="AD7" i="58" s="1"/>
  <c r="M4" i="58"/>
  <c r="L4" i="58"/>
  <c r="AF3" i="2"/>
  <c r="AG3" i="2"/>
  <c r="AH3" i="2"/>
  <c r="AI3" i="2"/>
  <c r="AF4" i="2"/>
  <c r="AG4" i="2"/>
  <c r="AH4" i="2"/>
  <c r="AI4" i="2"/>
  <c r="AI37" i="2"/>
  <c r="AH37" i="2"/>
  <c r="AG37" i="2"/>
  <c r="AF37" i="2"/>
  <c r="AI36" i="2"/>
  <c r="AH36" i="2"/>
  <c r="AG36" i="2"/>
  <c r="AF36" i="2"/>
  <c r="AI35" i="2"/>
  <c r="AH35" i="2"/>
  <c r="AG35" i="2"/>
  <c r="AF35" i="2"/>
  <c r="AI34" i="2"/>
  <c r="AH34" i="2"/>
  <c r="AG34" i="2"/>
  <c r="AF34" i="2"/>
  <c r="AI33" i="2"/>
  <c r="AH33" i="2"/>
  <c r="AG33" i="2"/>
  <c r="AF33" i="2"/>
  <c r="AI32" i="2"/>
  <c r="AH32" i="2"/>
  <c r="AG32" i="2"/>
  <c r="AF32" i="2"/>
  <c r="AI31" i="2"/>
  <c r="AH31" i="2"/>
  <c r="AG31" i="2"/>
  <c r="AF31" i="2"/>
  <c r="AI30" i="2"/>
  <c r="AH30" i="2"/>
  <c r="AG30" i="2"/>
  <c r="AF30" i="2"/>
  <c r="AI29" i="2"/>
  <c r="AH29" i="2"/>
  <c r="AG29" i="2"/>
  <c r="AF29" i="2"/>
  <c r="AI28" i="2"/>
  <c r="AH28" i="2"/>
  <c r="AG28" i="2"/>
  <c r="AF28" i="2"/>
  <c r="AI27" i="2"/>
  <c r="AH27" i="2"/>
  <c r="AG27" i="2"/>
  <c r="AF27" i="2"/>
  <c r="AI26" i="2"/>
  <c r="AH26" i="2"/>
  <c r="AG26" i="2"/>
  <c r="AF26" i="2"/>
  <c r="AI25" i="2"/>
  <c r="AH25" i="2"/>
  <c r="AG25" i="2"/>
  <c r="AF25" i="2"/>
  <c r="AI24" i="2"/>
  <c r="AH24" i="2"/>
  <c r="AG24" i="2"/>
  <c r="AF24" i="2"/>
  <c r="AI23" i="2"/>
  <c r="AH23" i="2"/>
  <c r="AG23" i="2"/>
  <c r="AF23" i="2"/>
  <c r="AI22" i="2"/>
  <c r="AH22" i="2"/>
  <c r="AG22" i="2"/>
  <c r="AF22" i="2"/>
  <c r="AI21" i="2"/>
  <c r="AH21" i="2"/>
  <c r="AG21" i="2"/>
  <c r="AF21" i="2"/>
  <c r="AI20" i="2"/>
  <c r="AH20" i="2"/>
  <c r="AG20" i="2"/>
  <c r="AF20" i="2"/>
  <c r="AI19" i="2"/>
  <c r="AH19" i="2"/>
  <c r="AG19" i="2"/>
  <c r="AF19" i="2"/>
  <c r="AI18" i="2"/>
  <c r="AH18" i="2"/>
  <c r="AG18" i="2"/>
  <c r="AF18" i="2"/>
  <c r="AI17" i="2"/>
  <c r="AH17" i="2"/>
  <c r="AG17" i="2"/>
  <c r="AF17" i="2"/>
  <c r="AI16" i="2"/>
  <c r="AH16" i="2"/>
  <c r="AG16" i="2"/>
  <c r="AF16" i="2"/>
  <c r="AI15" i="2"/>
  <c r="AH15" i="2"/>
  <c r="AG15" i="2"/>
  <c r="AF15" i="2"/>
  <c r="AI14" i="2"/>
  <c r="AH14" i="2"/>
  <c r="AG14" i="2"/>
  <c r="AF14" i="2"/>
  <c r="AI13" i="2"/>
  <c r="AH13" i="2"/>
  <c r="AG13" i="2"/>
  <c r="AF13" i="2"/>
  <c r="AI12" i="2"/>
  <c r="AH12" i="2"/>
  <c r="AG12" i="2"/>
  <c r="AF12" i="2"/>
  <c r="AI11" i="2"/>
  <c r="AH11" i="2"/>
  <c r="AG11" i="2"/>
  <c r="AF11" i="2"/>
  <c r="AI10" i="2"/>
  <c r="AH10" i="2"/>
  <c r="AG10" i="2"/>
  <c r="AF10" i="2"/>
  <c r="AI9" i="2"/>
  <c r="AH9" i="2"/>
  <c r="AG9" i="2"/>
  <c r="AF9" i="2"/>
  <c r="AI8" i="2"/>
  <c r="AH8" i="2"/>
  <c r="AG8" i="2"/>
  <c r="AF8" i="2"/>
  <c r="AI7" i="2"/>
  <c r="AH7" i="2"/>
  <c r="AG7" i="2"/>
  <c r="AF7" i="2"/>
  <c r="AI6" i="2"/>
  <c r="AH6" i="2"/>
  <c r="AG6" i="2"/>
  <c r="AF6" i="2"/>
  <c r="AI5" i="2"/>
  <c r="AH5" i="2"/>
  <c r="AG5" i="2"/>
  <c r="AF5" i="2"/>
  <c r="G5" i="57"/>
  <c r="G6" i="57"/>
  <c r="G4" i="57"/>
  <c r="AB12" i="2"/>
  <c r="AB10" i="2"/>
  <c r="AA10" i="2"/>
  <c r="AC7" i="2"/>
  <c r="AD7" i="2" s="1"/>
  <c r="AC6" i="2"/>
  <c r="AD6" i="2" s="1"/>
  <c r="AC5" i="2"/>
  <c r="AD5" i="2" s="1"/>
  <c r="AC4" i="2"/>
  <c r="AD4" i="2" s="1"/>
  <c r="H23" i="56"/>
  <c r="K23" i="56"/>
  <c r="I23" i="56" s="1"/>
  <c r="AF24" i="56"/>
  <c r="AG24" i="56"/>
  <c r="AF25" i="56"/>
  <c r="AG25" i="56"/>
  <c r="AG23" i="56"/>
  <c r="AF23" i="56"/>
  <c r="M24" i="56"/>
  <c r="N24" i="56"/>
  <c r="M25" i="56"/>
  <c r="N25" i="56"/>
  <c r="M26" i="56"/>
  <c r="N26" i="56"/>
  <c r="M27" i="56"/>
  <c r="N27" i="56"/>
  <c r="M28" i="56"/>
  <c r="N28" i="56"/>
  <c r="M29" i="56"/>
  <c r="N29" i="56"/>
  <c r="M30" i="56"/>
  <c r="N30" i="56"/>
  <c r="M31" i="56"/>
  <c r="N31" i="56"/>
  <c r="K31" i="56"/>
  <c r="J31" i="56" s="1"/>
  <c r="H31" i="56"/>
  <c r="I31" i="56" s="1"/>
  <c r="H30" i="56"/>
  <c r="H29" i="56"/>
  <c r="K29" i="56" s="1"/>
  <c r="L28" i="56"/>
  <c r="K28" i="56"/>
  <c r="J28" i="56"/>
  <c r="I28" i="56"/>
  <c r="H28" i="56"/>
  <c r="H27" i="56"/>
  <c r="K27" i="56" s="1"/>
  <c r="K26" i="56"/>
  <c r="H26" i="56"/>
  <c r="J26" i="56" s="1"/>
  <c r="AD25" i="56"/>
  <c r="AA25" i="56"/>
  <c r="AC25" i="56" s="1"/>
  <c r="H25" i="56"/>
  <c r="K25" i="56" s="1"/>
  <c r="AD24" i="56"/>
  <c r="AC24" i="56" s="1"/>
  <c r="AA24" i="56"/>
  <c r="AB24" i="56" s="1"/>
  <c r="H24" i="56"/>
  <c r="AA23" i="56"/>
  <c r="AD23" i="56" s="1"/>
  <c r="V13" i="56"/>
  <c r="W9" i="56"/>
  <c r="V9" i="56"/>
  <c r="D9" i="56"/>
  <c r="C13" i="56" s="1"/>
  <c r="C9" i="56"/>
  <c r="Z8" i="56"/>
  <c r="Y8" i="56"/>
  <c r="X8" i="56"/>
  <c r="AB8" i="56" s="1"/>
  <c r="I8" i="56"/>
  <c r="H8" i="56"/>
  <c r="G8" i="56"/>
  <c r="F8" i="56"/>
  <c r="E8" i="56"/>
  <c r="AA7" i="56"/>
  <c r="Z7" i="56"/>
  <c r="Y7" i="56"/>
  <c r="Y9" i="56" s="1"/>
  <c r="X7" i="56"/>
  <c r="X9" i="56" s="1"/>
  <c r="V14" i="56" s="1"/>
  <c r="G7" i="56"/>
  <c r="F7" i="56"/>
  <c r="E7" i="56"/>
  <c r="I7" i="56" s="1"/>
  <c r="AB6" i="56"/>
  <c r="AA6" i="56"/>
  <c r="Z6" i="56"/>
  <c r="Z9" i="56" s="1"/>
  <c r="Y6" i="56"/>
  <c r="X6" i="56"/>
  <c r="G6" i="56"/>
  <c r="G9" i="56" s="1"/>
  <c r="F6" i="56"/>
  <c r="E6" i="56"/>
  <c r="E9" i="56" s="1"/>
  <c r="C14" i="56" s="1"/>
  <c r="AB5" i="56"/>
  <c r="Z5" i="56"/>
  <c r="Y5" i="56"/>
  <c r="V11" i="56" s="1"/>
  <c r="X5" i="56"/>
  <c r="AA5" i="56" s="1"/>
  <c r="I5" i="56"/>
  <c r="H5" i="56"/>
  <c r="G5" i="56"/>
  <c r="F5" i="56"/>
  <c r="F9" i="56" s="1"/>
  <c r="E5" i="56"/>
  <c r="O7" i="54"/>
  <c r="P6" i="54" s="1"/>
  <c r="C7" i="54"/>
  <c r="D4" i="54" s="1"/>
  <c r="R6" i="54"/>
  <c r="S6" i="54" s="1"/>
  <c r="U6" i="54" s="1"/>
  <c r="V6" i="54" s="1"/>
  <c r="W6" i="54" s="1"/>
  <c r="F6" i="54"/>
  <c r="R5" i="54"/>
  <c r="P5" i="54"/>
  <c r="P9" i="54" s="1"/>
  <c r="F5" i="54"/>
  <c r="H28" i="12"/>
  <c r="H27" i="12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5" i="1"/>
  <c r="S9" i="1"/>
  <c r="B4" i="53"/>
  <c r="B5" i="53" s="1"/>
  <c r="C3" i="53"/>
  <c r="D3" i="53" s="1"/>
  <c r="E5" i="12"/>
  <c r="F5" i="12" s="1"/>
  <c r="E6" i="12"/>
  <c r="F6" i="12" s="1"/>
  <c r="E7" i="12"/>
  <c r="F7" i="12" s="1"/>
  <c r="E8" i="12"/>
  <c r="F8" i="12" s="1"/>
  <c r="H17" i="12"/>
  <c r="H18" i="12"/>
  <c r="H20" i="12"/>
  <c r="H21" i="12"/>
  <c r="H15" i="12"/>
  <c r="H14" i="12"/>
  <c r="H24" i="12"/>
  <c r="F66" i="2"/>
  <c r="G66" i="2" s="1"/>
  <c r="F65" i="2"/>
  <c r="G65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N7" i="47"/>
  <c r="O4" i="47" s="1"/>
  <c r="Q6" i="47"/>
  <c r="Q5" i="47"/>
  <c r="F6" i="47"/>
  <c r="F5" i="47"/>
  <c r="C7" i="47"/>
  <c r="D6" i="47" s="1"/>
  <c r="F64" i="2"/>
  <c r="G64" i="2" s="1"/>
  <c r="F63" i="2"/>
  <c r="G63" i="2" s="1"/>
  <c r="D46" i="46"/>
  <c r="D47" i="46" s="1"/>
  <c r="C46" i="46"/>
  <c r="D49" i="46" s="1"/>
  <c r="D45" i="46"/>
  <c r="C45" i="46"/>
  <c r="H50" i="46" s="1"/>
  <c r="H51" i="46" s="1"/>
  <c r="F44" i="46"/>
  <c r="E44" i="46"/>
  <c r="F43" i="46"/>
  <c r="E43" i="46"/>
  <c r="F42" i="46"/>
  <c r="E42" i="46"/>
  <c r="F41" i="46"/>
  <c r="E41" i="46"/>
  <c r="F40" i="46"/>
  <c r="E40" i="46"/>
  <c r="F39" i="46"/>
  <c r="E39" i="46"/>
  <c r="F38" i="46"/>
  <c r="E38" i="46"/>
  <c r="F37" i="46"/>
  <c r="E37" i="46"/>
  <c r="F36" i="46"/>
  <c r="E36" i="46"/>
  <c r="F35" i="46"/>
  <c r="E35" i="46"/>
  <c r="F34" i="46"/>
  <c r="E34" i="46"/>
  <c r="F33" i="46"/>
  <c r="E33" i="46"/>
  <c r="F32" i="46"/>
  <c r="E32" i="46"/>
  <c r="F31" i="46"/>
  <c r="E31" i="46"/>
  <c r="F30" i="46"/>
  <c r="E30" i="46"/>
  <c r="F29" i="46"/>
  <c r="E29" i="46"/>
  <c r="F28" i="46"/>
  <c r="E28" i="46"/>
  <c r="F27" i="46"/>
  <c r="E27" i="46"/>
  <c r="F26" i="46"/>
  <c r="E26" i="46"/>
  <c r="F25" i="46"/>
  <c r="E25" i="46"/>
  <c r="J24" i="46"/>
  <c r="I24" i="46"/>
  <c r="F24" i="46"/>
  <c r="E24" i="46"/>
  <c r="J23" i="46"/>
  <c r="I23" i="46"/>
  <c r="F23" i="46"/>
  <c r="E23" i="46"/>
  <c r="J22" i="46"/>
  <c r="I22" i="46"/>
  <c r="F22" i="46"/>
  <c r="E22" i="46"/>
  <c r="J21" i="46"/>
  <c r="I21" i="46"/>
  <c r="F21" i="46"/>
  <c r="E21" i="46"/>
  <c r="J20" i="46"/>
  <c r="I20" i="46"/>
  <c r="F20" i="46"/>
  <c r="E20" i="46"/>
  <c r="J19" i="46"/>
  <c r="I19" i="46"/>
  <c r="F19" i="46"/>
  <c r="E19" i="46"/>
  <c r="J18" i="46"/>
  <c r="I18" i="46"/>
  <c r="F18" i="46"/>
  <c r="E18" i="46"/>
  <c r="J17" i="46"/>
  <c r="I17" i="46"/>
  <c r="F17" i="46"/>
  <c r="E17" i="46"/>
  <c r="J16" i="46"/>
  <c r="I16" i="46"/>
  <c r="F16" i="46"/>
  <c r="E16" i="46"/>
  <c r="J15" i="46"/>
  <c r="I15" i="46"/>
  <c r="F15" i="46"/>
  <c r="E15" i="46"/>
  <c r="J14" i="46"/>
  <c r="I14" i="46"/>
  <c r="F14" i="46"/>
  <c r="E14" i="46"/>
  <c r="J13" i="46"/>
  <c r="I13" i="46"/>
  <c r="F13" i="46"/>
  <c r="E13" i="46"/>
  <c r="J12" i="46"/>
  <c r="I12" i="46"/>
  <c r="F12" i="46"/>
  <c r="E12" i="46"/>
  <c r="J11" i="46"/>
  <c r="I11" i="46"/>
  <c r="F11" i="46"/>
  <c r="E11" i="46"/>
  <c r="J10" i="46"/>
  <c r="I10" i="46"/>
  <c r="F10" i="46"/>
  <c r="E10" i="46"/>
  <c r="J9" i="46"/>
  <c r="I9" i="46"/>
  <c r="F9" i="46"/>
  <c r="E9" i="46"/>
  <c r="J8" i="46"/>
  <c r="I8" i="46"/>
  <c r="F8" i="46"/>
  <c r="E8" i="46"/>
  <c r="J7" i="46"/>
  <c r="I7" i="46"/>
  <c r="F7" i="46"/>
  <c r="E7" i="46"/>
  <c r="J6" i="46"/>
  <c r="I6" i="46"/>
  <c r="F6" i="46"/>
  <c r="E6" i="46"/>
  <c r="J5" i="46"/>
  <c r="I5" i="46"/>
  <c r="F5" i="46"/>
  <c r="F46" i="46" s="1"/>
  <c r="E5" i="46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5" i="1"/>
  <c r="S5" i="1"/>
  <c r="P22" i="1"/>
  <c r="P21" i="1"/>
  <c r="O21" i="1"/>
  <c r="P18" i="1"/>
  <c r="P17" i="1"/>
  <c r="O17" i="1"/>
  <c r="P14" i="1"/>
  <c r="P13" i="1"/>
  <c r="O13" i="1"/>
  <c r="P10" i="1"/>
  <c r="P9" i="1"/>
  <c r="O9" i="1"/>
  <c r="P8" i="1"/>
  <c r="P6" i="1"/>
  <c r="P5" i="1"/>
  <c r="O5" i="1"/>
  <c r="O6" i="1"/>
  <c r="O7" i="1"/>
  <c r="P7" i="1"/>
  <c r="O8" i="1"/>
  <c r="O10" i="1"/>
  <c r="O11" i="1"/>
  <c r="P11" i="1"/>
  <c r="O12" i="1"/>
  <c r="P12" i="1"/>
  <c r="O14" i="1"/>
  <c r="O15" i="1"/>
  <c r="P15" i="1"/>
  <c r="O16" i="1"/>
  <c r="P16" i="1"/>
  <c r="O18" i="1"/>
  <c r="O19" i="1"/>
  <c r="P19" i="1"/>
  <c r="O20" i="1"/>
  <c r="P20" i="1"/>
  <c r="O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E12" i="1"/>
  <c r="F12" i="1"/>
  <c r="S6" i="1"/>
  <c r="S7" i="1"/>
  <c r="S8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D46" i="1"/>
  <c r="C46" i="1"/>
  <c r="D45" i="1"/>
  <c r="C45" i="1"/>
  <c r="I6" i="13"/>
  <c r="H6" i="13" s="1"/>
  <c r="E11" i="59" l="1"/>
  <c r="K7" i="59"/>
  <c r="P7" i="59" s="1"/>
  <c r="K11" i="59"/>
  <c r="P11" i="59" s="1"/>
  <c r="I45" i="59"/>
  <c r="L7" i="59"/>
  <c r="L11" i="59"/>
  <c r="M7" i="59"/>
  <c r="J49" i="59" s="1"/>
  <c r="E7" i="59"/>
  <c r="F7" i="59" s="1"/>
  <c r="E10" i="59"/>
  <c r="D46" i="59"/>
  <c r="C50" i="59" s="1"/>
  <c r="AC46" i="57"/>
  <c r="AG36" i="57"/>
  <c r="AC47" i="57"/>
  <c r="AC48" i="57" s="1"/>
  <c r="AC49" i="57" s="1"/>
  <c r="AG14" i="57"/>
  <c r="AG8" i="57"/>
  <c r="AF16" i="57"/>
  <c r="AF15" i="57"/>
  <c r="AF21" i="57"/>
  <c r="AE7" i="57"/>
  <c r="AJ7" i="57" s="1"/>
  <c r="AF8" i="57"/>
  <c r="AF5" i="57"/>
  <c r="AE27" i="57"/>
  <c r="AJ27" i="57" s="1"/>
  <c r="AE36" i="57"/>
  <c r="AJ36" i="57" s="1"/>
  <c r="AG43" i="57"/>
  <c r="AG12" i="57"/>
  <c r="AG20" i="57"/>
  <c r="AG38" i="57"/>
  <c r="AE28" i="57"/>
  <c r="AJ28" i="57" s="1"/>
  <c r="AE31" i="57"/>
  <c r="AI31" i="57" s="1"/>
  <c r="AF43" i="57"/>
  <c r="AE26" i="57"/>
  <c r="AI26" i="57" s="1"/>
  <c r="AH27" i="57"/>
  <c r="AH28" i="57"/>
  <c r="AF29" i="57"/>
  <c r="AH43" i="57"/>
  <c r="AG5" i="57"/>
  <c r="AF42" i="57"/>
  <c r="AN45" i="57"/>
  <c r="AG19" i="57"/>
  <c r="AF39" i="57"/>
  <c r="AE23" i="57"/>
  <c r="AJ23" i="57" s="1"/>
  <c r="AG34" i="57"/>
  <c r="AE12" i="57"/>
  <c r="AJ12" i="57" s="1"/>
  <c r="AG13" i="57"/>
  <c r="AG35" i="57"/>
  <c r="AG37" i="57"/>
  <c r="AF10" i="57"/>
  <c r="AH12" i="57"/>
  <c r="AH13" i="57"/>
  <c r="AE16" i="57"/>
  <c r="AI16" i="57" s="1"/>
  <c r="AE43" i="57"/>
  <c r="AJ43" i="57" s="1"/>
  <c r="AE32" i="57"/>
  <c r="AJ32" i="57" s="1"/>
  <c r="AM45" i="57"/>
  <c r="AH5" i="57"/>
  <c r="AF7" i="57"/>
  <c r="AE8" i="57"/>
  <c r="AI8" i="57" s="1"/>
  <c r="AF13" i="57"/>
  <c r="AE15" i="57"/>
  <c r="AI15" i="57" s="1"/>
  <c r="AE20" i="57"/>
  <c r="AJ20" i="57" s="1"/>
  <c r="AG21" i="57"/>
  <c r="AG22" i="57"/>
  <c r="AG29" i="57"/>
  <c r="AG30" i="57"/>
  <c r="AF36" i="57"/>
  <c r="AO45" i="57"/>
  <c r="AF18" i="57"/>
  <c r="AE24" i="57"/>
  <c r="AI24" i="57" s="1"/>
  <c r="AF31" i="57"/>
  <c r="AP45" i="57"/>
  <c r="AG10" i="57"/>
  <c r="AE11" i="57"/>
  <c r="AJ11" i="57" s="1"/>
  <c r="AG16" i="57"/>
  <c r="AE18" i="57"/>
  <c r="AI18" i="57" s="1"/>
  <c r="AG24" i="57"/>
  <c r="AF32" i="57"/>
  <c r="AF34" i="57"/>
  <c r="AH37" i="57"/>
  <c r="AE40" i="57"/>
  <c r="AJ40" i="57" s="1"/>
  <c r="AF26" i="57"/>
  <c r="AF37" i="57"/>
  <c r="AQ45" i="57"/>
  <c r="AF11" i="57"/>
  <c r="AG18" i="57"/>
  <c r="AE19" i="57"/>
  <c r="AJ19" i="57" s="1"/>
  <c r="AG26" i="57"/>
  <c r="AG32" i="57"/>
  <c r="AE34" i="57"/>
  <c r="AJ34" i="57" s="1"/>
  <c r="AF40" i="57"/>
  <c r="AE39" i="57"/>
  <c r="AJ39" i="57" s="1"/>
  <c r="AG11" i="57"/>
  <c r="AF12" i="57"/>
  <c r="AF19" i="57"/>
  <c r="AF27" i="57"/>
  <c r="AE35" i="57"/>
  <c r="AJ35" i="57" s="1"/>
  <c r="AG40" i="57"/>
  <c r="AE42" i="57"/>
  <c r="AJ42" i="57" s="1"/>
  <c r="AF23" i="57"/>
  <c r="AE4" i="57"/>
  <c r="AI4" i="57" s="1"/>
  <c r="AG6" i="57"/>
  <c r="AH11" i="57"/>
  <c r="AF20" i="57"/>
  <c r="AG27" i="57"/>
  <c r="AG28" i="57"/>
  <c r="AF35" i="57"/>
  <c r="AG42" i="57"/>
  <c r="AE10" i="57"/>
  <c r="AI10" i="57" s="1"/>
  <c r="AF4" i="57"/>
  <c r="AG7" i="57"/>
  <c r="AE9" i="57"/>
  <c r="AJ9" i="57" s="1"/>
  <c r="AH10" i="57"/>
  <c r="AG15" i="57"/>
  <c r="AE17" i="57"/>
  <c r="AJ17" i="57" s="1"/>
  <c r="AH18" i="57"/>
  <c r="AG23" i="57"/>
  <c r="AJ24" i="57"/>
  <c r="AE25" i="57"/>
  <c r="AI25" i="57" s="1"/>
  <c r="AH26" i="57"/>
  <c r="AF28" i="57"/>
  <c r="AG31" i="57"/>
  <c r="AE33" i="57"/>
  <c r="AI33" i="57" s="1"/>
  <c r="AH34" i="57"/>
  <c r="AG39" i="57"/>
  <c r="AE41" i="57"/>
  <c r="AJ41" i="57" s="1"/>
  <c r="AH42" i="57"/>
  <c r="AG4" i="57"/>
  <c r="AE6" i="57"/>
  <c r="AI6" i="57" s="1"/>
  <c r="AH7" i="57"/>
  <c r="AF9" i="57"/>
  <c r="AE14" i="57"/>
  <c r="AI14" i="57" s="1"/>
  <c r="AH15" i="57"/>
  <c r="AF17" i="57"/>
  <c r="AE22" i="57"/>
  <c r="AI22" i="57" s="1"/>
  <c r="AH23" i="57"/>
  <c r="AF25" i="57"/>
  <c r="AE30" i="57"/>
  <c r="AI30" i="57" s="1"/>
  <c r="AH31" i="57"/>
  <c r="AF33" i="57"/>
  <c r="AE38" i="57"/>
  <c r="AI38" i="57" s="1"/>
  <c r="AH39" i="57"/>
  <c r="AF41" i="57"/>
  <c r="AF6" i="57"/>
  <c r="AG9" i="57"/>
  <c r="AF14" i="57"/>
  <c r="AG17" i="57"/>
  <c r="AF22" i="57"/>
  <c r="AG25" i="57"/>
  <c r="AF30" i="57"/>
  <c r="AG33" i="57"/>
  <c r="AF38" i="57"/>
  <c r="AG41" i="57"/>
  <c r="AH9" i="57"/>
  <c r="AH17" i="57"/>
  <c r="AH25" i="57"/>
  <c r="AH33" i="57"/>
  <c r="AH41" i="57"/>
  <c r="AE5" i="57"/>
  <c r="AI5" i="57" s="1"/>
  <c r="AE13" i="57"/>
  <c r="AJ13" i="57" s="1"/>
  <c r="AE21" i="57"/>
  <c r="AI21" i="57" s="1"/>
  <c r="AF24" i="57"/>
  <c r="AE29" i="57"/>
  <c r="AI29" i="57" s="1"/>
  <c r="AE37" i="57"/>
  <c r="AJ37" i="57" s="1"/>
  <c r="U4" i="57"/>
  <c r="U10" i="57"/>
  <c r="P21" i="57"/>
  <c r="U9" i="57"/>
  <c r="Q14" i="57"/>
  <c r="U8" i="57"/>
  <c r="R15" i="57"/>
  <c r="G15" i="57"/>
  <c r="P19" i="57"/>
  <c r="V5" i="57"/>
  <c r="T15" i="57"/>
  <c r="V7" i="57"/>
  <c r="Q15" i="57"/>
  <c r="P22" i="57" s="1"/>
  <c r="S15" i="57"/>
  <c r="U6" i="57"/>
  <c r="O16" i="57"/>
  <c r="O17" i="57" s="1"/>
  <c r="P16" i="57"/>
  <c r="P17" i="57" s="1"/>
  <c r="B17" i="57"/>
  <c r="C17" i="57"/>
  <c r="D4" i="61"/>
  <c r="I4" i="61" s="1"/>
  <c r="E41" i="61"/>
  <c r="F42" i="61"/>
  <c r="L49" i="61"/>
  <c r="M49" i="61"/>
  <c r="D28" i="61"/>
  <c r="I28" i="61" s="1"/>
  <c r="E36" i="61"/>
  <c r="D7" i="61"/>
  <c r="I7" i="61" s="1"/>
  <c r="F18" i="61"/>
  <c r="D25" i="61"/>
  <c r="I25" i="61" s="1"/>
  <c r="E34" i="61"/>
  <c r="F22" i="61"/>
  <c r="F23" i="61"/>
  <c r="D31" i="61"/>
  <c r="I31" i="61" s="1"/>
  <c r="E39" i="61"/>
  <c r="D30" i="61"/>
  <c r="I30" i="61" s="1"/>
  <c r="D38" i="61"/>
  <c r="H38" i="61" s="1"/>
  <c r="E23" i="61"/>
  <c r="E26" i="61"/>
  <c r="E28" i="61"/>
  <c r="F38" i="61"/>
  <c r="F28" i="61"/>
  <c r="F10" i="61"/>
  <c r="F8" i="61"/>
  <c r="E17" i="61"/>
  <c r="F20" i="61"/>
  <c r="D33" i="61"/>
  <c r="H33" i="61" s="1"/>
  <c r="G34" i="61"/>
  <c r="F14" i="61"/>
  <c r="N45" i="61"/>
  <c r="E25" i="61"/>
  <c r="G26" i="61"/>
  <c r="E31" i="61"/>
  <c r="F32" i="61"/>
  <c r="D34" i="61"/>
  <c r="H34" i="61" s="1"/>
  <c r="B46" i="61"/>
  <c r="B47" i="61" s="1"/>
  <c r="O45" i="61"/>
  <c r="F31" i="61"/>
  <c r="C46" i="61"/>
  <c r="P45" i="61"/>
  <c r="F6" i="61"/>
  <c r="G31" i="61"/>
  <c r="E33" i="61"/>
  <c r="F34" i="61"/>
  <c r="D36" i="61"/>
  <c r="I36" i="61" s="1"/>
  <c r="F39" i="61"/>
  <c r="F40" i="61"/>
  <c r="D41" i="61"/>
  <c r="I41" i="61" s="1"/>
  <c r="E42" i="61"/>
  <c r="E4" i="61"/>
  <c r="D6" i="61"/>
  <c r="I6" i="61" s="1"/>
  <c r="E7" i="61"/>
  <c r="D9" i="61"/>
  <c r="I9" i="61" s="1"/>
  <c r="E10" i="61"/>
  <c r="D12" i="61"/>
  <c r="I12" i="61" s="1"/>
  <c r="D15" i="61"/>
  <c r="I15" i="61" s="1"/>
  <c r="F36" i="61"/>
  <c r="G39" i="61"/>
  <c r="F4" i="61"/>
  <c r="F7" i="61"/>
  <c r="E9" i="61"/>
  <c r="G10" i="61"/>
  <c r="E12" i="61"/>
  <c r="D14" i="61"/>
  <c r="I14" i="61" s="1"/>
  <c r="E15" i="61"/>
  <c r="F16" i="61"/>
  <c r="D17" i="61"/>
  <c r="I17" i="61" s="1"/>
  <c r="E18" i="61"/>
  <c r="D20" i="61"/>
  <c r="I20" i="61" s="1"/>
  <c r="D23" i="61"/>
  <c r="I23" i="61" s="1"/>
  <c r="L45" i="61"/>
  <c r="M45" i="61"/>
  <c r="G7" i="61"/>
  <c r="F12" i="61"/>
  <c r="F15" i="61"/>
  <c r="E20" i="61"/>
  <c r="D22" i="61"/>
  <c r="H22" i="61" s="1"/>
  <c r="F24" i="61"/>
  <c r="F26" i="61"/>
  <c r="F30" i="61"/>
  <c r="G4" i="61"/>
  <c r="E6" i="61"/>
  <c r="F9" i="61"/>
  <c r="D11" i="61"/>
  <c r="I11" i="61" s="1"/>
  <c r="E14" i="61"/>
  <c r="F17" i="61"/>
  <c r="D19" i="61"/>
  <c r="I19" i="61" s="1"/>
  <c r="E22" i="61"/>
  <c r="F25" i="61"/>
  <c r="D27" i="61"/>
  <c r="I27" i="61" s="1"/>
  <c r="E30" i="61"/>
  <c r="F33" i="61"/>
  <c r="D35" i="61"/>
  <c r="I35" i="61" s="1"/>
  <c r="E38" i="61"/>
  <c r="F41" i="61"/>
  <c r="D43" i="61"/>
  <c r="H43" i="61" s="1"/>
  <c r="D8" i="61"/>
  <c r="G9" i="61"/>
  <c r="E11" i="61"/>
  <c r="D16" i="61"/>
  <c r="G17" i="61"/>
  <c r="E19" i="61"/>
  <c r="D24" i="61"/>
  <c r="G25" i="61"/>
  <c r="E27" i="61"/>
  <c r="D32" i="61"/>
  <c r="G33" i="61"/>
  <c r="E35" i="61"/>
  <c r="D40" i="61"/>
  <c r="G41" i="61"/>
  <c r="E43" i="61"/>
  <c r="D5" i="61"/>
  <c r="H5" i="61" s="1"/>
  <c r="G6" i="61"/>
  <c r="E8" i="61"/>
  <c r="F11" i="61"/>
  <c r="D13" i="61"/>
  <c r="I13" i="61" s="1"/>
  <c r="G14" i="61"/>
  <c r="E16" i="61"/>
  <c r="F19" i="61"/>
  <c r="D21" i="61"/>
  <c r="I21" i="61" s="1"/>
  <c r="G22" i="61"/>
  <c r="E24" i="61"/>
  <c r="F27" i="61"/>
  <c r="D29" i="61"/>
  <c r="I29" i="61" s="1"/>
  <c r="G30" i="61"/>
  <c r="E32" i="61"/>
  <c r="F35" i="61"/>
  <c r="D37" i="61"/>
  <c r="I37" i="61" s="1"/>
  <c r="G38" i="61"/>
  <c r="E40" i="61"/>
  <c r="F43" i="61"/>
  <c r="E5" i="61"/>
  <c r="D10" i="61"/>
  <c r="H10" i="61" s="1"/>
  <c r="G11" i="61"/>
  <c r="E13" i="61"/>
  <c r="D18" i="61"/>
  <c r="H18" i="61" s="1"/>
  <c r="G19" i="61"/>
  <c r="E21" i="61"/>
  <c r="D26" i="61"/>
  <c r="H26" i="61" s="1"/>
  <c r="G27" i="61"/>
  <c r="E29" i="61"/>
  <c r="G35" i="61"/>
  <c r="E37" i="61"/>
  <c r="D42" i="61"/>
  <c r="H42" i="61" s="1"/>
  <c r="G43" i="61"/>
  <c r="B45" i="61"/>
  <c r="F5" i="61"/>
  <c r="F13" i="61"/>
  <c r="F21" i="61"/>
  <c r="F29" i="61"/>
  <c r="F37" i="61"/>
  <c r="D39" i="61"/>
  <c r="I39" i="61" s="1"/>
  <c r="C45" i="61"/>
  <c r="G5" i="61"/>
  <c r="G13" i="61"/>
  <c r="G21" i="61"/>
  <c r="G29" i="61"/>
  <c r="G37" i="61"/>
  <c r="P14" i="58"/>
  <c r="P31" i="58"/>
  <c r="P36" i="58"/>
  <c r="P48" i="58"/>
  <c r="P57" i="58"/>
  <c r="P61" i="58"/>
  <c r="P66" i="58"/>
  <c r="P78" i="58"/>
  <c r="P95" i="58"/>
  <c r="P100" i="58"/>
  <c r="P112" i="58"/>
  <c r="P121" i="58"/>
  <c r="P125" i="58"/>
  <c r="P4" i="58"/>
  <c r="P9" i="58"/>
  <c r="P22" i="58"/>
  <c r="P39" i="58"/>
  <c r="P44" i="58"/>
  <c r="P56" i="58"/>
  <c r="P65" i="58"/>
  <c r="P69" i="58"/>
  <c r="P74" i="58"/>
  <c r="P86" i="58"/>
  <c r="P103" i="58"/>
  <c r="P108" i="58"/>
  <c r="P120" i="58"/>
  <c r="AD6" i="58"/>
  <c r="P8" i="58"/>
  <c r="P13" i="58"/>
  <c r="P18" i="58"/>
  <c r="P30" i="58"/>
  <c r="P47" i="58"/>
  <c r="P52" i="58"/>
  <c r="P64" i="58"/>
  <c r="P73" i="58"/>
  <c r="P77" i="58"/>
  <c r="P82" i="58"/>
  <c r="P94" i="58"/>
  <c r="P111" i="58"/>
  <c r="P116" i="58"/>
  <c r="P5" i="58"/>
  <c r="P17" i="58"/>
  <c r="P21" i="58"/>
  <c r="P38" i="58"/>
  <c r="P55" i="58"/>
  <c r="P72" i="58"/>
  <c r="P81" i="58"/>
  <c r="P85" i="58"/>
  <c r="P102" i="58"/>
  <c r="P119" i="58"/>
  <c r="P16" i="58"/>
  <c r="P25" i="58"/>
  <c r="P29" i="58"/>
  <c r="P34" i="58"/>
  <c r="P46" i="58"/>
  <c r="P63" i="58"/>
  <c r="P68" i="58"/>
  <c r="P80" i="58"/>
  <c r="P89" i="58"/>
  <c r="P93" i="58"/>
  <c r="P98" i="58"/>
  <c r="P110" i="58"/>
  <c r="P12" i="58"/>
  <c r="P24" i="58"/>
  <c r="P33" i="58"/>
  <c r="P37" i="58"/>
  <c r="P42" i="58"/>
  <c r="P54" i="58"/>
  <c r="P71" i="58"/>
  <c r="P76" i="58"/>
  <c r="P88" i="58"/>
  <c r="P97" i="58"/>
  <c r="P101" i="58"/>
  <c r="P106" i="58"/>
  <c r="P118" i="58"/>
  <c r="P15" i="58"/>
  <c r="P20" i="58"/>
  <c r="P32" i="58"/>
  <c r="P41" i="58"/>
  <c r="P45" i="58"/>
  <c r="P50" i="58"/>
  <c r="P62" i="58"/>
  <c r="P79" i="58"/>
  <c r="P84" i="58"/>
  <c r="P96" i="58"/>
  <c r="P105" i="58"/>
  <c r="P109" i="58"/>
  <c r="P114" i="58"/>
  <c r="P126" i="58"/>
  <c r="G44" i="13"/>
  <c r="P21" i="59"/>
  <c r="AX46" i="59"/>
  <c r="AX47" i="59"/>
  <c r="AW46" i="59"/>
  <c r="AX45" i="59"/>
  <c r="AW47" i="59"/>
  <c r="AW45" i="59"/>
  <c r="AR46" i="59"/>
  <c r="AS46" i="59"/>
  <c r="AT46" i="59"/>
  <c r="AU46" i="59"/>
  <c r="AU47" i="59"/>
  <c r="AT47" i="59"/>
  <c r="AS47" i="59"/>
  <c r="AR47" i="59"/>
  <c r="AQ46" i="59"/>
  <c r="AR45" i="59"/>
  <c r="AS45" i="59"/>
  <c r="AT45" i="59"/>
  <c r="AU45" i="59"/>
  <c r="P32" i="59"/>
  <c r="O34" i="59"/>
  <c r="P31" i="59"/>
  <c r="P40" i="59"/>
  <c r="P44" i="59"/>
  <c r="P22" i="59"/>
  <c r="O26" i="59"/>
  <c r="P39" i="59"/>
  <c r="AQ47" i="59"/>
  <c r="AQ45" i="59"/>
  <c r="P14" i="59"/>
  <c r="P28" i="59"/>
  <c r="P36" i="59"/>
  <c r="O18" i="59"/>
  <c r="O30" i="59"/>
  <c r="O38" i="59"/>
  <c r="O43" i="59"/>
  <c r="P27" i="59"/>
  <c r="P35" i="59"/>
  <c r="O42" i="59"/>
  <c r="O17" i="59"/>
  <c r="O25" i="59"/>
  <c r="O29" i="59"/>
  <c r="O33" i="59"/>
  <c r="O37" i="59"/>
  <c r="O41" i="59"/>
  <c r="O10" i="59"/>
  <c r="O9" i="59"/>
  <c r="O13" i="59"/>
  <c r="O12" i="59"/>
  <c r="O16" i="59"/>
  <c r="O20" i="59"/>
  <c r="O24" i="59"/>
  <c r="O11" i="59"/>
  <c r="O15" i="59"/>
  <c r="O19" i="59"/>
  <c r="O23" i="59"/>
  <c r="K45" i="59"/>
  <c r="J51" i="59"/>
  <c r="K46" i="59"/>
  <c r="M54" i="59" s="1"/>
  <c r="O8" i="59"/>
  <c r="O5" i="59"/>
  <c r="P5" i="59"/>
  <c r="O7" i="59"/>
  <c r="O6" i="59"/>
  <c r="F11" i="59"/>
  <c r="F18" i="59"/>
  <c r="F10" i="59"/>
  <c r="F19" i="59"/>
  <c r="H12" i="57"/>
  <c r="I9" i="57"/>
  <c r="I10" i="57"/>
  <c r="I8" i="57"/>
  <c r="C21" i="57"/>
  <c r="D14" i="57"/>
  <c r="I7" i="57"/>
  <c r="F6" i="59"/>
  <c r="AN11" i="59"/>
  <c r="AO11" i="59" s="1"/>
  <c r="F4" i="57"/>
  <c r="D5" i="57"/>
  <c r="H5" i="57" s="1"/>
  <c r="D6" i="57"/>
  <c r="H6" i="57" s="1"/>
  <c r="F6" i="57"/>
  <c r="E6" i="57"/>
  <c r="F5" i="57"/>
  <c r="E4" i="57"/>
  <c r="E5" i="57"/>
  <c r="D4" i="57"/>
  <c r="AC10" i="2"/>
  <c r="AD10" i="2" s="1"/>
  <c r="J23" i="56"/>
  <c r="AE24" i="56"/>
  <c r="R28" i="56"/>
  <c r="J29" i="56"/>
  <c r="I29" i="56"/>
  <c r="I30" i="56"/>
  <c r="I27" i="56"/>
  <c r="L31" i="56"/>
  <c r="H6" i="56"/>
  <c r="C12" i="56" s="1"/>
  <c r="AB7" i="56"/>
  <c r="AB9" i="56" s="1"/>
  <c r="K24" i="56"/>
  <c r="I25" i="56"/>
  <c r="J27" i="56"/>
  <c r="K30" i="56"/>
  <c r="I6" i="56"/>
  <c r="I9" i="56" s="1"/>
  <c r="AA8" i="56"/>
  <c r="V12" i="56" s="1"/>
  <c r="V15" i="56" s="1"/>
  <c r="C11" i="56"/>
  <c r="AB23" i="56"/>
  <c r="J25" i="56"/>
  <c r="H7" i="56"/>
  <c r="AC23" i="56"/>
  <c r="I26" i="56"/>
  <c r="AB25" i="56"/>
  <c r="P4" i="54"/>
  <c r="P7" i="54" s="1"/>
  <c r="R7" i="54"/>
  <c r="D6" i="54"/>
  <c r="D5" i="54"/>
  <c r="D9" i="54" s="1"/>
  <c r="F7" i="54"/>
  <c r="G6" i="54"/>
  <c r="I6" i="54" s="1"/>
  <c r="J6" i="54" s="1"/>
  <c r="K6" i="54" s="1"/>
  <c r="G5" i="54"/>
  <c r="S5" i="54"/>
  <c r="B6" i="53"/>
  <c r="C5" i="53"/>
  <c r="D5" i="53" s="1"/>
  <c r="C4" i="53"/>
  <c r="D4" i="53" s="1"/>
  <c r="H29" i="12"/>
  <c r="H66" i="2"/>
  <c r="H64" i="2"/>
  <c r="R5" i="47"/>
  <c r="T4" i="47" s="1"/>
  <c r="F7" i="47"/>
  <c r="O6" i="47"/>
  <c r="O5" i="47"/>
  <c r="G6" i="47"/>
  <c r="I6" i="47" s="1"/>
  <c r="J6" i="47" s="1"/>
  <c r="K6" i="47" s="1"/>
  <c r="R6" i="47"/>
  <c r="T6" i="47" s="1"/>
  <c r="U6" i="47" s="1"/>
  <c r="V6" i="47" s="1"/>
  <c r="Q7" i="47"/>
  <c r="D4" i="47"/>
  <c r="D5" i="47"/>
  <c r="G5" i="47"/>
  <c r="E46" i="46"/>
  <c r="D50" i="46" s="1"/>
  <c r="D53" i="46" s="1"/>
  <c r="D52" i="46"/>
  <c r="C47" i="46"/>
  <c r="D51" i="46"/>
  <c r="D54" i="46" s="1"/>
  <c r="I49" i="46" s="1"/>
  <c r="N46" i="1"/>
  <c r="M46" i="1"/>
  <c r="N45" i="1"/>
  <c r="M45" i="1"/>
  <c r="P46" i="1"/>
  <c r="G6" i="13"/>
  <c r="J6" i="13" s="1"/>
  <c r="M6" i="13" s="1"/>
  <c r="Q6" i="13" s="1"/>
  <c r="AB6" i="13" s="1"/>
  <c r="O46" i="1"/>
  <c r="H4" i="61" l="1"/>
  <c r="AI7" i="57"/>
  <c r="AI34" i="57"/>
  <c r="AI23" i="57"/>
  <c r="AI32" i="57"/>
  <c r="AJ31" i="57"/>
  <c r="AI28" i="57"/>
  <c r="AI17" i="57"/>
  <c r="AI27" i="57"/>
  <c r="AI9" i="57"/>
  <c r="AI39" i="57"/>
  <c r="AJ4" i="57"/>
  <c r="AI20" i="57"/>
  <c r="AJ8" i="57"/>
  <c r="AI11" i="57"/>
  <c r="AJ18" i="57"/>
  <c r="AI36" i="57"/>
  <c r="AI12" i="57"/>
  <c r="AJ10" i="57"/>
  <c r="AJ33" i="57"/>
  <c r="AJ26" i="57"/>
  <c r="AI43" i="57"/>
  <c r="AD46" i="57"/>
  <c r="AE46" i="57" s="1"/>
  <c r="AI42" i="57"/>
  <c r="AJ16" i="57"/>
  <c r="AJ15" i="57"/>
  <c r="AJ14" i="57"/>
  <c r="AI40" i="57"/>
  <c r="AE47" i="57"/>
  <c r="AI41" i="57"/>
  <c r="AJ25" i="57"/>
  <c r="AD47" i="57"/>
  <c r="AD53" i="57" s="1"/>
  <c r="AI35" i="57"/>
  <c r="AJ21" i="57"/>
  <c r="AJ6" i="57"/>
  <c r="AI19" i="57"/>
  <c r="AI37" i="57"/>
  <c r="AI13" i="57"/>
  <c r="AJ5" i="57"/>
  <c r="AJ29" i="57"/>
  <c r="AH47" i="57"/>
  <c r="AJ38" i="57"/>
  <c r="AJ22" i="57"/>
  <c r="AF47" i="57"/>
  <c r="AJ30" i="57"/>
  <c r="U15" i="57"/>
  <c r="U20" i="57" s="1"/>
  <c r="V14" i="57"/>
  <c r="V16" i="57" s="1"/>
  <c r="V15" i="57"/>
  <c r="R24" i="57" s="1"/>
  <c r="U19" i="57"/>
  <c r="Q16" i="57"/>
  <c r="Q17" i="57" s="1"/>
  <c r="U22" i="57" s="1"/>
  <c r="H21" i="57"/>
  <c r="S24" i="57"/>
  <c r="P20" i="57"/>
  <c r="X23" i="57" s="1"/>
  <c r="U21" i="57"/>
  <c r="U14" i="57"/>
  <c r="F15" i="57"/>
  <c r="H19" i="57" s="1"/>
  <c r="E15" i="57"/>
  <c r="M50" i="61"/>
  <c r="M51" i="61" s="1"/>
  <c r="C47" i="61"/>
  <c r="H28" i="61"/>
  <c r="H31" i="61"/>
  <c r="H17" i="61"/>
  <c r="H7" i="61"/>
  <c r="I33" i="61"/>
  <c r="H30" i="61"/>
  <c r="H19" i="61"/>
  <c r="I34" i="61"/>
  <c r="H36" i="61"/>
  <c r="H20" i="61"/>
  <c r="H9" i="61"/>
  <c r="H15" i="61"/>
  <c r="H25" i="61"/>
  <c r="I38" i="61"/>
  <c r="H14" i="61"/>
  <c r="H6" i="61"/>
  <c r="H27" i="61"/>
  <c r="H23" i="61"/>
  <c r="C51" i="61"/>
  <c r="L50" i="61"/>
  <c r="L51" i="61" s="1"/>
  <c r="I18" i="61"/>
  <c r="I10" i="61"/>
  <c r="H41" i="61"/>
  <c r="I22" i="61"/>
  <c r="H12" i="61"/>
  <c r="C49" i="61"/>
  <c r="H39" i="61"/>
  <c r="H29" i="61"/>
  <c r="H11" i="61"/>
  <c r="F46" i="61"/>
  <c r="H35" i="61"/>
  <c r="D45" i="61"/>
  <c r="I32" i="61"/>
  <c r="H32" i="61"/>
  <c r="I16" i="61"/>
  <c r="H16" i="61"/>
  <c r="I42" i="61"/>
  <c r="G46" i="61"/>
  <c r="H37" i="61"/>
  <c r="I5" i="61"/>
  <c r="D46" i="61"/>
  <c r="D47" i="61" s="1"/>
  <c r="I26" i="61"/>
  <c r="H21" i="61"/>
  <c r="I40" i="61"/>
  <c r="H40" i="61"/>
  <c r="I24" i="61"/>
  <c r="H24" i="61"/>
  <c r="I8" i="61"/>
  <c r="H8" i="61"/>
  <c r="H13" i="61"/>
  <c r="I43" i="61"/>
  <c r="J44" i="13"/>
  <c r="P45" i="59"/>
  <c r="P47" i="59" s="1"/>
  <c r="P46" i="59"/>
  <c r="L54" i="59" s="1"/>
  <c r="J52" i="59"/>
  <c r="O45" i="59"/>
  <c r="J50" i="59"/>
  <c r="C19" i="57"/>
  <c r="D15" i="57"/>
  <c r="F46" i="59"/>
  <c r="I6" i="57"/>
  <c r="I5" i="57"/>
  <c r="I4" i="57"/>
  <c r="H4" i="57"/>
  <c r="H15" i="57" s="1"/>
  <c r="H20" i="57" s="1"/>
  <c r="L23" i="56"/>
  <c r="C15" i="56"/>
  <c r="L26" i="56"/>
  <c r="AA9" i="56"/>
  <c r="L30" i="56"/>
  <c r="R31" i="56"/>
  <c r="J30" i="56"/>
  <c r="L25" i="56"/>
  <c r="L27" i="56"/>
  <c r="L29" i="56"/>
  <c r="AK24" i="56"/>
  <c r="AE25" i="56"/>
  <c r="J24" i="56"/>
  <c r="I24" i="56"/>
  <c r="AE23" i="56"/>
  <c r="H9" i="56"/>
  <c r="D7" i="54"/>
  <c r="S7" i="54"/>
  <c r="U4" i="54"/>
  <c r="U5" i="54"/>
  <c r="G7" i="54"/>
  <c r="I4" i="54"/>
  <c r="I5" i="54"/>
  <c r="B7" i="53"/>
  <c r="C6" i="53"/>
  <c r="D6" i="53" s="1"/>
  <c r="K6" i="13"/>
  <c r="N6" i="13" s="1"/>
  <c r="L6" i="13"/>
  <c r="O6" i="13" s="1"/>
  <c r="Z6" i="13" s="1"/>
  <c r="G7" i="47"/>
  <c r="T5" i="47"/>
  <c r="U5" i="47" s="1"/>
  <c r="V5" i="47" s="1"/>
  <c r="O7" i="47"/>
  <c r="R7" i="47"/>
  <c r="U4" i="47"/>
  <c r="D7" i="47"/>
  <c r="I4" i="47"/>
  <c r="J4" i="47" s="1"/>
  <c r="K4" i="47" s="1"/>
  <c r="I5" i="47"/>
  <c r="J5" i="47" s="1"/>
  <c r="K5" i="47" s="1"/>
  <c r="J49" i="46"/>
  <c r="D55" i="46"/>
  <c r="I50" i="46" s="1"/>
  <c r="J50" i="46" s="1"/>
  <c r="N51" i="1"/>
  <c r="N49" i="1"/>
  <c r="N52" i="1" s="1"/>
  <c r="M47" i="1"/>
  <c r="R50" i="1"/>
  <c r="R51" i="1" s="1"/>
  <c r="N47" i="1"/>
  <c r="N50" i="1"/>
  <c r="AD48" i="57" l="1"/>
  <c r="AD49" i="57" s="1"/>
  <c r="AI53" i="57" s="1"/>
  <c r="AD54" i="57"/>
  <c r="AE48" i="57"/>
  <c r="AE49" i="57" s="1"/>
  <c r="AI54" i="57" s="1"/>
  <c r="AG56" i="57"/>
  <c r="AG47" i="57"/>
  <c r="AI51" i="57" s="1"/>
  <c r="AD51" i="57"/>
  <c r="T24" i="57"/>
  <c r="P24" i="57" s="1"/>
  <c r="P23" i="57"/>
  <c r="D16" i="57"/>
  <c r="D17" i="57" s="1"/>
  <c r="H22" i="57" s="1"/>
  <c r="F24" i="57"/>
  <c r="C50" i="61"/>
  <c r="H45" i="61"/>
  <c r="H46" i="61"/>
  <c r="F54" i="61"/>
  <c r="C52" i="61"/>
  <c r="I46" i="61"/>
  <c r="E54" i="61" s="1"/>
  <c r="I45" i="61"/>
  <c r="I47" i="61" s="1"/>
  <c r="P6" i="13"/>
  <c r="AA6" i="13" s="1"/>
  <c r="M44" i="13"/>
  <c r="Q44" i="13" s="1"/>
  <c r="AB44" i="13" s="1"/>
  <c r="L44" i="13"/>
  <c r="K44" i="13"/>
  <c r="N54" i="59"/>
  <c r="J54" i="59" s="1"/>
  <c r="J53" i="59"/>
  <c r="C20" i="57"/>
  <c r="H14" i="57"/>
  <c r="I15" i="57"/>
  <c r="E24" i="57" s="1"/>
  <c r="I14" i="57"/>
  <c r="I16" i="57" s="1"/>
  <c r="C22" i="57"/>
  <c r="AH24" i="56"/>
  <c r="O29" i="56"/>
  <c r="O27" i="56"/>
  <c r="O23" i="56"/>
  <c r="S23" i="56" s="1"/>
  <c r="O28" i="56"/>
  <c r="O24" i="56"/>
  <c r="S24" i="56" s="1"/>
  <c r="AH25" i="56"/>
  <c r="AI25" i="56" s="1"/>
  <c r="O30" i="56"/>
  <c r="S30" i="56" s="1"/>
  <c r="M23" i="56"/>
  <c r="O26" i="56"/>
  <c r="O31" i="56"/>
  <c r="O25" i="56"/>
  <c r="P25" i="56" s="1"/>
  <c r="AH23" i="56"/>
  <c r="N23" i="56"/>
  <c r="Q23" i="56" s="1"/>
  <c r="P30" i="56"/>
  <c r="R30" i="56"/>
  <c r="AK25" i="56"/>
  <c r="L24" i="56"/>
  <c r="R29" i="56"/>
  <c r="P29" i="56"/>
  <c r="P27" i="56"/>
  <c r="R27" i="56"/>
  <c r="R25" i="56"/>
  <c r="Q30" i="56"/>
  <c r="R26" i="56"/>
  <c r="P26" i="56"/>
  <c r="AK23" i="56"/>
  <c r="AI23" i="56"/>
  <c r="Y6" i="13"/>
  <c r="K8" i="47"/>
  <c r="U7" i="54"/>
  <c r="V4" i="54"/>
  <c r="J5" i="54"/>
  <c r="K5" i="54" s="1"/>
  <c r="D10" i="54"/>
  <c r="D11" i="54" s="1"/>
  <c r="I7" i="54"/>
  <c r="J4" i="54"/>
  <c r="P10" i="54"/>
  <c r="P11" i="54" s="1"/>
  <c r="V5" i="54"/>
  <c r="W5" i="54" s="1"/>
  <c r="B8" i="53"/>
  <c r="C7" i="53"/>
  <c r="D7" i="53" s="1"/>
  <c r="T7" i="47"/>
  <c r="V4" i="47"/>
  <c r="V8" i="47" s="1"/>
  <c r="U7" i="47"/>
  <c r="I7" i="47"/>
  <c r="K49" i="46"/>
  <c r="I51" i="46"/>
  <c r="N54" i="1"/>
  <c r="S49" i="1" s="1"/>
  <c r="T49" i="1" s="1"/>
  <c r="N53" i="1"/>
  <c r="AD52" i="57" l="1"/>
  <c r="AD55" i="57" s="1"/>
  <c r="AJ46" i="57"/>
  <c r="AH56" i="57" s="1"/>
  <c r="AI47" i="57"/>
  <c r="AI52" i="57" s="1"/>
  <c r="AI46" i="57"/>
  <c r="AJ47" i="57"/>
  <c r="AF56" i="57" s="1"/>
  <c r="P25" i="57"/>
  <c r="K23" i="57"/>
  <c r="G24" i="57"/>
  <c r="C24" i="57" s="1"/>
  <c r="C53" i="61"/>
  <c r="G54" i="61"/>
  <c r="C54" i="61" s="1"/>
  <c r="R6" i="13"/>
  <c r="P44" i="13"/>
  <c r="AA44" i="13" s="1"/>
  <c r="N44" i="13"/>
  <c r="Y44" i="13" s="1"/>
  <c r="O44" i="13"/>
  <c r="Z44" i="13" s="1"/>
  <c r="J55" i="59"/>
  <c r="C23" i="57"/>
  <c r="S29" i="56"/>
  <c r="Q29" i="56"/>
  <c r="T29" i="56" s="1"/>
  <c r="AL25" i="56"/>
  <c r="AJ25" i="56"/>
  <c r="AM25" i="56" s="1"/>
  <c r="AL23" i="56"/>
  <c r="AJ23" i="56"/>
  <c r="AM23" i="56" s="1"/>
  <c r="S27" i="56"/>
  <c r="Q27" i="56"/>
  <c r="R23" i="56"/>
  <c r="P23" i="56"/>
  <c r="T23" i="56" s="1"/>
  <c r="AL24" i="56"/>
  <c r="AJ24" i="56"/>
  <c r="AI24" i="56"/>
  <c r="AM24" i="56" s="1"/>
  <c r="T27" i="56"/>
  <c r="P28" i="56"/>
  <c r="Q28" i="56"/>
  <c r="S28" i="56"/>
  <c r="S25" i="56"/>
  <c r="Q25" i="56"/>
  <c r="T25" i="56" s="1"/>
  <c r="Q31" i="56"/>
  <c r="S31" i="56"/>
  <c r="P31" i="56"/>
  <c r="S26" i="56"/>
  <c r="Q26" i="56"/>
  <c r="T26" i="56" s="1"/>
  <c r="Q24" i="56"/>
  <c r="T30" i="56"/>
  <c r="P24" i="56"/>
  <c r="R24" i="56"/>
  <c r="V7" i="54"/>
  <c r="W4" i="54"/>
  <c r="W8" i="54" s="1"/>
  <c r="K4" i="54"/>
  <c r="K8" i="54" s="1"/>
  <c r="J7" i="54"/>
  <c r="B9" i="53"/>
  <c r="C8" i="53"/>
  <c r="D8" i="53" s="1"/>
  <c r="J7" i="47"/>
  <c r="N55" i="1"/>
  <c r="S50" i="1" s="1"/>
  <c r="T50" i="1" s="1"/>
  <c r="U49" i="1" s="1"/>
  <c r="AJ48" i="57" l="1"/>
  <c r="AD56" i="57"/>
  <c r="AD57" i="57" s="1"/>
  <c r="C55" i="61"/>
  <c r="R44" i="13"/>
  <c r="C25" i="57"/>
  <c r="T28" i="56"/>
  <c r="T31" i="56"/>
  <c r="T24" i="56"/>
  <c r="B10" i="53"/>
  <c r="C9" i="53"/>
  <c r="D9" i="53" s="1"/>
  <c r="S51" i="1"/>
  <c r="B11" i="53" l="1"/>
  <c r="C10" i="53"/>
  <c r="D10" i="53" s="1"/>
  <c r="B12" i="53" l="1"/>
  <c r="C11" i="53"/>
  <c r="D11" i="53" s="1"/>
  <c r="B13" i="53" l="1"/>
  <c r="C12" i="53"/>
  <c r="D12" i="53" s="1"/>
  <c r="B14" i="53" l="1"/>
  <c r="C13" i="53"/>
  <c r="D13" i="53" s="1"/>
  <c r="B15" i="53" l="1"/>
  <c r="C14" i="53"/>
  <c r="D14" i="53" s="1"/>
  <c r="I13" i="22"/>
  <c r="H13" i="22"/>
  <c r="G13" i="22"/>
  <c r="F13" i="22" s="1"/>
  <c r="I12" i="22"/>
  <c r="F12" i="22" s="1"/>
  <c r="H12" i="22"/>
  <c r="G12" i="22"/>
  <c r="I11" i="22"/>
  <c r="H11" i="22"/>
  <c r="G11" i="22"/>
  <c r="F11" i="22" s="1"/>
  <c r="I10" i="22"/>
  <c r="F10" i="22" s="1"/>
  <c r="H10" i="22"/>
  <c r="G10" i="22"/>
  <c r="I9" i="22"/>
  <c r="H9" i="22"/>
  <c r="G9" i="22"/>
  <c r="F9" i="22" s="1"/>
  <c r="I8" i="22"/>
  <c r="F8" i="22" s="1"/>
  <c r="H8" i="22"/>
  <c r="G8" i="22"/>
  <c r="I7" i="22"/>
  <c r="H7" i="22"/>
  <c r="G7" i="22"/>
  <c r="F7" i="22" s="1"/>
  <c r="I6" i="22"/>
  <c r="F6" i="22" s="1"/>
  <c r="H6" i="22"/>
  <c r="G6" i="22"/>
  <c r="I5" i="22"/>
  <c r="H5" i="22"/>
  <c r="G5" i="22"/>
  <c r="F5" i="22" s="1"/>
  <c r="B16" i="53" l="1"/>
  <c r="C15" i="53"/>
  <c r="D15" i="53" s="1"/>
  <c r="B17" i="53" l="1"/>
  <c r="C16" i="53"/>
  <c r="D16" i="53" s="1"/>
  <c r="C17" i="53" l="1"/>
  <c r="D17" i="53" s="1"/>
  <c r="B18" i="53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B19" i="53" l="1"/>
  <c r="C18" i="53"/>
  <c r="D18" i="53" s="1"/>
  <c r="H25" i="12"/>
  <c r="H60" i="2"/>
  <c r="H56" i="2"/>
  <c r="H58" i="2"/>
  <c r="H62" i="2"/>
  <c r="B20" i="53" l="1"/>
  <c r="C19" i="53"/>
  <c r="D19" i="53" s="1"/>
  <c r="D10" i="12"/>
  <c r="K41" i="4"/>
  <c r="K40" i="4"/>
  <c r="K46" i="4" s="1"/>
  <c r="L41" i="4"/>
  <c r="L40" i="4"/>
  <c r="K43" i="4"/>
  <c r="G40" i="4"/>
  <c r="H40" i="4"/>
  <c r="C40" i="4"/>
  <c r="D40" i="4"/>
  <c r="G41" i="4"/>
  <c r="G42" i="4" s="1"/>
  <c r="H41" i="4"/>
  <c r="H42" i="4" s="1"/>
  <c r="G43" i="4"/>
  <c r="H43" i="4"/>
  <c r="D43" i="4"/>
  <c r="C43" i="4"/>
  <c r="C41" i="4"/>
  <c r="C42" i="4" s="1"/>
  <c r="D41" i="4"/>
  <c r="D42" i="4" s="1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D41" i="2"/>
  <c r="C45" i="2" s="1"/>
  <c r="E5" i="1"/>
  <c r="E6" i="1"/>
  <c r="E7" i="1"/>
  <c r="E8" i="1"/>
  <c r="E9" i="1"/>
  <c r="E10" i="1"/>
  <c r="E11" i="1"/>
  <c r="F5" i="1"/>
  <c r="F6" i="1"/>
  <c r="F7" i="1"/>
  <c r="F8" i="1"/>
  <c r="F9" i="1"/>
  <c r="F10" i="1"/>
  <c r="F11" i="1"/>
  <c r="B21" i="53" l="1"/>
  <c r="C20" i="53"/>
  <c r="D20" i="53" s="1"/>
  <c r="D47" i="1"/>
  <c r="F46" i="1"/>
  <c r="C47" i="1"/>
  <c r="H50" i="1"/>
  <c r="H51" i="1" s="1"/>
  <c r="L42" i="4"/>
  <c r="D51" i="1"/>
  <c r="C46" i="4"/>
  <c r="K42" i="4"/>
  <c r="K45" i="4" s="1"/>
  <c r="D49" i="1"/>
  <c r="D52" i="1" s="1"/>
  <c r="G45" i="4"/>
  <c r="E46" i="1"/>
  <c r="D50" i="1" s="1"/>
  <c r="C45" i="4"/>
  <c r="G46" i="4"/>
  <c r="F41" i="2"/>
  <c r="B22" i="53" l="1"/>
  <c r="C21" i="53"/>
  <c r="D21" i="53" s="1"/>
  <c r="D53" i="1"/>
  <c r="D54" i="1"/>
  <c r="I49" i="1" s="1"/>
  <c r="F10" i="12"/>
  <c r="B23" i="53" l="1"/>
  <c r="C22" i="53"/>
  <c r="D22" i="53" s="1"/>
  <c r="D55" i="1"/>
  <c r="I50" i="1" s="1"/>
  <c r="J50" i="1" s="1"/>
  <c r="J49" i="1"/>
  <c r="B24" i="53" l="1"/>
  <c r="C23" i="53"/>
  <c r="D23" i="53" s="1"/>
  <c r="I51" i="1"/>
  <c r="B25" i="53" l="1"/>
  <c r="C24" i="53"/>
  <c r="D24" i="53" s="1"/>
  <c r="C25" i="53" l="1"/>
  <c r="D25" i="53" s="1"/>
  <c r="B26" i="53"/>
  <c r="B27" i="53" l="1"/>
  <c r="C26" i="53"/>
  <c r="D26" i="53" s="1"/>
  <c r="B28" i="53" l="1"/>
  <c r="C27" i="53"/>
  <c r="D27" i="53" s="1"/>
  <c r="B29" i="53" l="1"/>
  <c r="C28" i="53"/>
  <c r="D28" i="53" s="1"/>
  <c r="B30" i="53" l="1"/>
  <c r="C29" i="53"/>
  <c r="D29" i="53" s="1"/>
  <c r="B31" i="53" l="1"/>
  <c r="C30" i="53"/>
  <c r="D30" i="53" s="1"/>
  <c r="B32" i="53" l="1"/>
  <c r="C31" i="53"/>
  <c r="D31" i="53" s="1"/>
  <c r="C32" i="53" l="1"/>
  <c r="D32" i="53" s="1"/>
</calcChain>
</file>

<file path=xl/sharedStrings.xml><?xml version="1.0" encoding="utf-8"?>
<sst xmlns="http://schemas.openxmlformats.org/spreadsheetml/2006/main" count="1140" uniqueCount="584">
  <si>
    <t>X</t>
  </si>
  <si>
    <t>Y</t>
  </si>
  <si>
    <t>X^2</t>
  </si>
  <si>
    <t>Y^2</t>
  </si>
  <si>
    <t>Count =</t>
  </si>
  <si>
    <t xml:space="preserve">Sum = </t>
  </si>
  <si>
    <t xml:space="preserve">Mean = </t>
  </si>
  <si>
    <t>df</t>
  </si>
  <si>
    <t>SS</t>
  </si>
  <si>
    <t>MS</t>
  </si>
  <si>
    <t>F</t>
  </si>
  <si>
    <t>Total</t>
  </si>
  <si>
    <t>Bx Cols</t>
  </si>
  <si>
    <t>Sum Sq</t>
  </si>
  <si>
    <t>W/i Col error</t>
  </si>
  <si>
    <t>SSGT/n</t>
  </si>
  <si>
    <t>CT</t>
  </si>
  <si>
    <t>SS total</t>
  </si>
  <si>
    <t>SS groups*</t>
  </si>
  <si>
    <t>SS w/in</t>
  </si>
  <si>
    <t>*for two groups with equal sample sizes, SS(groups) = square of difference of sums, over sample size</t>
  </si>
  <si>
    <t>G</t>
  </si>
  <si>
    <t>d</t>
  </si>
  <si>
    <t>df =</t>
  </si>
  <si>
    <t>Obs</t>
  </si>
  <si>
    <t>Sum</t>
  </si>
  <si>
    <r>
      <t xml:space="preserve">Σ* </t>
    </r>
    <r>
      <rPr>
        <b/>
        <i/>
        <sz val="14"/>
        <color theme="1"/>
        <rFont val="Calibri"/>
        <family val="2"/>
      </rPr>
      <t>ln</t>
    </r>
    <r>
      <rPr>
        <b/>
        <sz val="14"/>
        <color theme="1"/>
        <rFont val="Calibri"/>
        <family val="2"/>
      </rPr>
      <t>Σ</t>
    </r>
  </si>
  <si>
    <t>Σ</t>
  </si>
  <si>
    <t>1/Σ</t>
  </si>
  <si>
    <r>
      <rPr>
        <b/>
        <sz val="14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= 2[Σcell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 - (Σrow &amp;  Σcolumn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f) + grand Σ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f)]</t>
    </r>
  </si>
  <si>
    <t>I</t>
  </si>
  <si>
    <t>II</t>
  </si>
  <si>
    <t>n</t>
  </si>
  <si>
    <t>mean</t>
  </si>
  <si>
    <t>StdDev</t>
  </si>
  <si>
    <t xml:space="preserve">t = </t>
  </si>
  <si>
    <r>
      <t>Equal</t>
    </r>
    <r>
      <rPr>
        <b/>
        <i/>
        <sz val="16"/>
        <color theme="1"/>
        <rFont val="Calibri"/>
        <family val="2"/>
        <scheme val="minor"/>
      </rPr>
      <t xml:space="preserve"> n</t>
    </r>
  </si>
  <si>
    <t xml:space="preserve">df = </t>
  </si>
  <si>
    <t>Sample</t>
  </si>
  <si>
    <t>Single obs</t>
  </si>
  <si>
    <r>
      <t xml:space="preserve">Unequal </t>
    </r>
    <r>
      <rPr>
        <b/>
        <i/>
        <sz val="16"/>
        <color theme="1"/>
        <rFont val="Calibri"/>
        <family val="2"/>
        <scheme val="minor"/>
      </rPr>
      <t>n</t>
    </r>
  </si>
  <si>
    <t>Lithuanians</t>
  </si>
  <si>
    <t>Malays</t>
  </si>
  <si>
    <t>Māori</t>
  </si>
  <si>
    <t>Mayans</t>
  </si>
  <si>
    <t>Moros</t>
  </si>
  <si>
    <t>Navajo Indians</t>
  </si>
  <si>
    <t>Observed</t>
  </si>
  <si>
    <t>Correction</t>
  </si>
  <si>
    <t>Group</t>
  </si>
  <si>
    <t xml:space="preserve">A </t>
  </si>
  <si>
    <t xml:space="preserve">B </t>
  </si>
  <si>
    <t xml:space="preserve">AB </t>
  </si>
  <si>
    <t xml:space="preserve">O </t>
  </si>
  <si>
    <t>A</t>
  </si>
  <si>
    <t>B</t>
  </si>
  <si>
    <t>O</t>
  </si>
  <si>
    <t>D</t>
  </si>
  <si>
    <t>AB</t>
  </si>
  <si>
    <r>
      <t xml:space="preserve">I * </t>
    </r>
    <r>
      <rPr>
        <b/>
        <i/>
        <sz val="14"/>
        <color theme="1"/>
        <rFont val="Calibri"/>
        <family val="2"/>
        <scheme val="minor"/>
      </rPr>
      <t>ln I</t>
    </r>
  </si>
  <si>
    <r>
      <t xml:space="preserve">II * </t>
    </r>
    <r>
      <rPr>
        <b/>
        <i/>
        <sz val="14"/>
        <color theme="1"/>
        <rFont val="Calibri"/>
        <family val="2"/>
        <scheme val="minor"/>
      </rPr>
      <t>ln II</t>
    </r>
  </si>
  <si>
    <t>Type</t>
  </si>
  <si>
    <t>Abyssinians</t>
  </si>
  <si>
    <t>Ainu (Japan)</t>
  </si>
  <si>
    <t>Albanians</t>
  </si>
  <si>
    <t>Grand Andamanese</t>
  </si>
  <si>
    <t>Arabs</t>
  </si>
  <si>
    <t>Armenians</t>
  </si>
  <si>
    <t>Asian Americans</t>
  </si>
  <si>
    <t>Austrians</t>
  </si>
  <si>
    <t>Bantus</t>
  </si>
  <si>
    <t>Basques</t>
  </si>
  <si>
    <t>Belgians</t>
  </si>
  <si>
    <t>Bororo (Brazil)</t>
  </si>
  <si>
    <t>Brazilians</t>
  </si>
  <si>
    <t>Bulgarians</t>
  </si>
  <si>
    <t>Burmese</t>
  </si>
  <si>
    <t>Buryats (Siberia)</t>
  </si>
  <si>
    <t>Bushmen</t>
  </si>
  <si>
    <t>Chuvash</t>
  </si>
  <si>
    <t>Croats</t>
  </si>
  <si>
    <t>Czechs</t>
  </si>
  <si>
    <t>Danes</t>
  </si>
  <si>
    <t>Dutch</t>
  </si>
  <si>
    <t>Egyptians</t>
  </si>
  <si>
    <t>English</t>
  </si>
  <si>
    <t>Inuit (Alaska)</t>
  </si>
  <si>
    <t>Inuit (Greenland)</t>
  </si>
  <si>
    <t>Estonians</t>
  </si>
  <si>
    <t>Fijians</t>
  </si>
  <si>
    <t>Finns</t>
  </si>
  <si>
    <t>French</t>
  </si>
  <si>
    <t>Georgians</t>
  </si>
  <si>
    <t>Germans</t>
  </si>
  <si>
    <t>Greeks</t>
  </si>
  <si>
    <t>Hawaiians</t>
  </si>
  <si>
    <t>Hindus (Bombay)</t>
  </si>
  <si>
    <t>Hungarians</t>
  </si>
  <si>
    <t>Icelanders</t>
  </si>
  <si>
    <t>Indians (India)</t>
  </si>
  <si>
    <t>Native Americans</t>
  </si>
  <si>
    <t>Irish</t>
  </si>
  <si>
    <t>Italians (Milan)</t>
  </si>
  <si>
    <t>Japanese</t>
  </si>
  <si>
    <t>Jews (Germany)</t>
  </si>
  <si>
    <t>Jews (Poland)</t>
  </si>
  <si>
    <t>Kalmuks</t>
  </si>
  <si>
    <t>Kikuyu (Kenya)</t>
  </si>
  <si>
    <t>Koreans</t>
  </si>
  <si>
    <t>Sami people</t>
  </si>
  <si>
    <t>Latvians</t>
  </si>
  <si>
    <t>Nicobarese</t>
  </si>
  <si>
    <t>Norwegians</t>
  </si>
  <si>
    <t>Papuans (New Guinea)</t>
  </si>
  <si>
    <t>Persians</t>
  </si>
  <si>
    <t>Peruvian Indians</t>
  </si>
  <si>
    <t>Filipinos</t>
  </si>
  <si>
    <t>Poles</t>
  </si>
  <si>
    <t>Portuguese</t>
  </si>
  <si>
    <t>Romanians</t>
  </si>
  <si>
    <t>Russians</t>
  </si>
  <si>
    <t>Sardinians</t>
  </si>
  <si>
    <t>Scots</t>
  </si>
  <si>
    <t>Serbians</t>
  </si>
  <si>
    <t>Shompen Nicobarese</t>
  </si>
  <si>
    <t>Slovaks</t>
  </si>
  <si>
    <t>South Africans</t>
  </si>
  <si>
    <t>Spanish</t>
  </si>
  <si>
    <t>Sudanese</t>
  </si>
  <si>
    <t>Swedish</t>
  </si>
  <si>
    <t>Swiss</t>
  </si>
  <si>
    <t>Tatars</t>
  </si>
  <si>
    <t>Thais</t>
  </si>
  <si>
    <t>Turks</t>
  </si>
  <si>
    <t>Ukrainians</t>
  </si>
  <si>
    <t>Black Americans</t>
  </si>
  <si>
    <t>White Americans</t>
  </si>
  <si>
    <t>Vietnamese</t>
  </si>
  <si>
    <t>German</t>
  </si>
  <si>
    <r>
      <rPr>
        <b/>
        <i/>
        <sz val="14"/>
        <color rgb="FFFF0000"/>
        <rFont val="Calibri"/>
        <family val="2"/>
        <scheme val="minor"/>
      </rPr>
      <t>X</t>
    </r>
    <r>
      <rPr>
        <b/>
        <sz val="14"/>
        <color rgb="FFFF0000"/>
        <rFont val="Calibri"/>
        <family val="2"/>
        <scheme val="minor"/>
      </rPr>
      <t>^2 =</t>
    </r>
  </si>
  <si>
    <r>
      <t>Single-Classification ANOVA with equal sample size</t>
    </r>
    <r>
      <rPr>
        <sz val="12"/>
        <color theme="1"/>
        <rFont val="Calibri"/>
        <family val="2"/>
        <scheme val="minor"/>
      </rPr>
      <t xml:space="preserve"> (from Sokal &amp; Rohlf 1969)</t>
    </r>
  </si>
  <si>
    <r>
      <t>Pearson Chi-Square test</t>
    </r>
    <r>
      <rPr>
        <sz val="12"/>
        <color theme="1"/>
        <rFont val="Calibri"/>
        <family val="2"/>
        <scheme val="minor"/>
      </rPr>
      <t xml:space="preserve"> (after Sokal &amp; Rohlf 1969)</t>
    </r>
  </si>
  <si>
    <t>p =</t>
  </si>
  <si>
    <t>Glikkers</t>
  </si>
  <si>
    <t>*,**,***</t>
  </si>
  <si>
    <t>NN</t>
  </si>
  <si>
    <t>MN</t>
  </si>
  <si>
    <t>MM</t>
  </si>
  <si>
    <t>p</t>
  </si>
  <si>
    <t>H(exp)=</t>
  </si>
  <si>
    <t>H(obs)=</t>
  </si>
  <si>
    <t>C</t>
  </si>
  <si>
    <t>Count' (exp)</t>
  </si>
  <si>
    <t>f(exp)</t>
  </si>
  <si>
    <t>genotype'</t>
  </si>
  <si>
    <t>f(allele)</t>
  </si>
  <si>
    <t>count</t>
  </si>
  <si>
    <t>allele</t>
  </si>
  <si>
    <t>f (obs)</t>
  </si>
  <si>
    <t>Count (obs)</t>
  </si>
  <si>
    <t>genotype</t>
  </si>
  <si>
    <t>row Σ</t>
  </si>
  <si>
    <t>= sum (cell * ln(cell) )</t>
  </si>
  <si>
    <t>= sum ( Σ* lnΣ )</t>
  </si>
  <si>
    <r>
      <t>= sum (I*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I) + sum(II*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lI)</t>
    </r>
  </si>
  <si>
    <r>
      <rPr>
        <sz val="14"/>
        <color rgb="FFFF0000"/>
        <rFont val="Calibri"/>
        <family val="2"/>
        <scheme val="minor"/>
      </rPr>
      <t>=</t>
    </r>
    <r>
      <rPr>
        <b/>
        <sz val="14"/>
        <color rgb="FFFF0000"/>
        <rFont val="Calibri"/>
        <family val="2"/>
        <scheme val="minor"/>
      </rPr>
      <t xml:space="preserve"> G</t>
    </r>
  </si>
  <si>
    <t>= 2[sum of cell transforms - (sums of row &amp; column transforms) + sum of sum transform]</t>
  </si>
  <si>
    <t>0.05*</t>
  </si>
  <si>
    <t>0.01**</t>
  </si>
  <si>
    <t>0.001***</t>
  </si>
  <si>
    <t>df = 3</t>
  </si>
  <si>
    <t>*</t>
  </si>
  <si>
    <t>***</t>
  </si>
  <si>
    <r>
      <t>0.05</t>
    </r>
    <r>
      <rPr>
        <b/>
        <sz val="14"/>
        <color rgb="FFFF0000"/>
        <rFont val="Calibri"/>
        <family val="2"/>
        <scheme val="minor"/>
      </rPr>
      <t>*</t>
    </r>
  </si>
  <si>
    <r>
      <t>0.01</t>
    </r>
    <r>
      <rPr>
        <b/>
        <sz val="14"/>
        <color rgb="FFFF0000"/>
        <rFont val="Calibri"/>
        <family val="2"/>
        <scheme val="minor"/>
      </rPr>
      <t>**</t>
    </r>
  </si>
  <si>
    <r>
      <t>0.001</t>
    </r>
    <r>
      <rPr>
        <b/>
        <sz val="14"/>
        <color rgb="FFFF0000"/>
        <rFont val="Calibri"/>
        <family val="2"/>
        <scheme val="minor"/>
      </rPr>
      <t>***</t>
    </r>
  </si>
  <si>
    <t>ns</t>
  </si>
  <si>
    <t>df = 1</t>
  </si>
  <si>
    <t>z</t>
  </si>
  <si>
    <t>Confidence Level</t>
  </si>
  <si>
    <t>One-Tailed Test</t>
  </si>
  <si>
    <t>Two-Tailed Test</t>
  </si>
  <si>
    <r>
      <t>Critical Values of Student's</t>
    </r>
    <r>
      <rPr>
        <b/>
        <i/>
        <sz val="14"/>
        <color theme="1"/>
        <rFont val="Calibri"/>
        <family val="2"/>
        <scheme val="minor"/>
      </rPr>
      <t xml:space="preserve"> t</t>
    </r>
    <r>
      <rPr>
        <b/>
        <sz val="14"/>
        <color theme="1"/>
        <rFont val="Calibri"/>
        <family val="2"/>
        <scheme val="minor"/>
      </rPr>
      <t>-distribution, for One- &amp; Two-tailed tests</t>
    </r>
  </si>
  <si>
    <r>
      <t>Student's</t>
    </r>
    <r>
      <rPr>
        <b/>
        <i/>
        <sz val="16"/>
        <color theme="1"/>
        <rFont val="Calibri"/>
        <family val="2"/>
        <scheme val="minor"/>
      </rPr>
      <t xml:space="preserve"> t </t>
    </r>
    <r>
      <rPr>
        <b/>
        <sz val="16"/>
        <color theme="1"/>
        <rFont val="Calibri"/>
        <family val="2"/>
        <scheme val="minor"/>
      </rPr>
      <t xml:space="preserve">test, with equal or unequal sample sizes, or single observations </t>
    </r>
    <r>
      <rPr>
        <sz val="12"/>
        <color theme="1"/>
        <rFont val="Calibri"/>
        <family val="2"/>
        <scheme val="minor"/>
      </rPr>
      <t>(after Sokal &amp; Rohlf 1969)</t>
    </r>
  </si>
  <si>
    <r>
      <t xml:space="preserve">Consult table of </t>
    </r>
    <r>
      <rPr>
        <b/>
        <sz val="14"/>
        <color rgb="FF0070C0"/>
        <rFont val="Calibri"/>
        <family val="2"/>
        <scheme val="minor"/>
      </rPr>
      <t>Critical Values</t>
    </r>
  </si>
  <si>
    <t>Williams' Correction for A B AB O</t>
  </si>
  <si>
    <r>
      <rPr>
        <b/>
        <sz val="16"/>
        <color rgb="FFFF0000"/>
        <rFont val="Calibri"/>
        <family val="2"/>
        <scheme val="minor"/>
      </rPr>
      <t>F</t>
    </r>
    <r>
      <rPr>
        <sz val="16"/>
        <color theme="1"/>
        <rFont val="Calibri"/>
        <family val="2"/>
        <scheme val="minor"/>
      </rPr>
      <t xml:space="preserve"> = </t>
    </r>
    <r>
      <rPr>
        <b/>
        <sz val="16"/>
        <color theme="1"/>
        <rFont val="Calibri"/>
        <family val="2"/>
        <scheme val="minor"/>
      </rPr>
      <t>Explained</t>
    </r>
    <r>
      <rPr>
        <sz val="16"/>
        <color theme="1"/>
        <rFont val="Calibri"/>
        <family val="2"/>
        <scheme val="minor"/>
      </rPr>
      <t xml:space="preserve"> MS (bx samples) / </t>
    </r>
    <r>
      <rPr>
        <b/>
        <sz val="16"/>
        <color theme="1"/>
        <rFont val="Calibri"/>
        <family val="2"/>
        <scheme val="minor"/>
      </rPr>
      <t>Error</t>
    </r>
    <r>
      <rPr>
        <sz val="16"/>
        <color theme="1"/>
        <rFont val="Calibri"/>
        <family val="2"/>
        <scheme val="minor"/>
      </rPr>
      <t xml:space="preserve"> MS (w/i samples)</t>
    </r>
  </si>
  <si>
    <t>Critical values of Chi-Square</t>
  </si>
  <si>
    <t>Inuit (G'land)</t>
  </si>
  <si>
    <t>Sample Data</t>
  </si>
  <si>
    <t xml:space="preserve"> </t>
  </si>
  <si>
    <t>Romani (Hungary)</t>
  </si>
  <si>
    <t>Aboriginal Australians</t>
  </si>
  <si>
    <t>Chinese (Canton)</t>
  </si>
  <si>
    <t>Chinese (Ningbo)</t>
  </si>
  <si>
    <t>Chinese (Yangzhou)</t>
  </si>
  <si>
    <t>Chinese (Peking)</t>
  </si>
  <si>
    <t>obs</t>
  </si>
  <si>
    <t>exp</t>
  </si>
  <si>
    <t>d=o-e</t>
  </si>
  <si>
    <t>d^2/e</t>
  </si>
  <si>
    <t>E</t>
  </si>
  <si>
    <t>H</t>
  </si>
  <si>
    <t>observed</t>
  </si>
  <si>
    <t>estimated</t>
  </si>
  <si>
    <t xml:space="preserve">(after Sokal &amp; Rohlf 2012, pp 753-754: </t>
  </si>
  <si>
    <r>
      <t>p(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|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) = [p(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|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) x p(</t>
    </r>
    <r>
      <rPr>
        <b/>
        <sz val="16"/>
        <color theme="1"/>
        <rFont val="Calibri"/>
        <family val="2"/>
        <scheme val="minor"/>
      </rPr>
      <t>A</t>
    </r>
    <r>
      <rPr>
        <sz val="16"/>
        <color theme="1"/>
        <rFont val="Calibri"/>
        <family val="2"/>
        <scheme val="minor"/>
      </rPr>
      <t>)] / p(</t>
    </r>
    <r>
      <rPr>
        <b/>
        <sz val="16"/>
        <color theme="1"/>
        <rFont val="Calibri"/>
        <family val="2"/>
        <scheme val="minor"/>
      </rPr>
      <t>B</t>
    </r>
    <r>
      <rPr>
        <sz val="16"/>
        <color theme="1"/>
        <rFont val="Calibri"/>
        <family val="2"/>
        <scheme val="minor"/>
      </rPr>
      <t>)</t>
    </r>
  </si>
  <si>
    <t>p(A|B) =</t>
  </si>
  <si>
    <t>[p(B|A)</t>
  </si>
  <si>
    <t>x     p(A)]</t>
  </si>
  <si>
    <t>/  p(B)</t>
  </si>
  <si>
    <t>Sensitivity</t>
  </si>
  <si>
    <t>Specificity</t>
  </si>
  <si>
    <t>Incidence</t>
  </si>
  <si>
    <t>p(User|+)</t>
  </si>
  <si>
    <t>p(+|User)</t>
  </si>
  <si>
    <t>p(User)</t>
  </si>
  <si>
    <t>p(+)</t>
  </si>
  <si>
    <t>N</t>
  </si>
  <si>
    <t>Nigerian</t>
  </si>
  <si>
    <t>Egyptian</t>
  </si>
  <si>
    <t>Australian</t>
  </si>
  <si>
    <t>Negritos, Andaman</t>
  </si>
  <si>
    <t>Estimated</t>
  </si>
  <si>
    <t>Corrected</t>
  </si>
  <si>
    <t>Reconstructed</t>
  </si>
  <si>
    <t>Chinese</t>
  </si>
  <si>
    <t>Inuit</t>
  </si>
  <si>
    <t>M</t>
  </si>
  <si>
    <t>PNG &amp; Aus</t>
  </si>
  <si>
    <t>Dine</t>
  </si>
  <si>
    <t>Pangasinan</t>
  </si>
  <si>
    <t>Cebu</t>
  </si>
  <si>
    <t>Camarines Sur</t>
  </si>
  <si>
    <t>Isabela</t>
  </si>
  <si>
    <t>Butuan</t>
  </si>
  <si>
    <t>Davao del Sur</t>
  </si>
  <si>
    <t>Palawan</t>
  </si>
  <si>
    <t>Manila</t>
  </si>
  <si>
    <r>
      <t>0.05</t>
    </r>
    <r>
      <rPr>
        <b/>
        <sz val="12"/>
        <color rgb="FFFF0000"/>
        <rFont val="Calibri"/>
        <family val="2"/>
        <scheme val="minor"/>
      </rPr>
      <t>*</t>
    </r>
  </si>
  <si>
    <r>
      <t>0.01</t>
    </r>
    <r>
      <rPr>
        <b/>
        <sz val="12"/>
        <color rgb="FFFF0000"/>
        <rFont val="Calibri"/>
        <family val="2"/>
        <scheme val="minor"/>
      </rPr>
      <t>**</t>
    </r>
  </si>
  <si>
    <r>
      <t>0.001</t>
    </r>
    <r>
      <rPr>
        <b/>
        <sz val="12"/>
        <color rgb="FFFF0000"/>
        <rFont val="Calibri"/>
        <family val="2"/>
        <scheme val="minor"/>
      </rPr>
      <t>***</t>
    </r>
  </si>
  <si>
    <t>Counts</t>
  </si>
  <si>
    <t>Frequencies</t>
  </si>
  <si>
    <t>TOTAL</t>
  </si>
  <si>
    <t>© 2024 by Steven M Carr: Not to be reproduced or redistributed without written permission, scarr [at] mun.ca</t>
  </si>
  <si>
    <r>
      <rPr>
        <b/>
        <sz val="14"/>
        <color rgb="FFFF0000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 = </t>
    </r>
    <r>
      <rPr>
        <b/>
        <sz val="14"/>
        <color theme="1"/>
        <rFont val="Calibri"/>
        <family val="2"/>
        <scheme val="minor"/>
      </rPr>
      <t>Explained</t>
    </r>
    <r>
      <rPr>
        <sz val="14"/>
        <color theme="1"/>
        <rFont val="Calibri"/>
        <family val="2"/>
        <scheme val="minor"/>
      </rPr>
      <t xml:space="preserve"> MS (bx samples) / </t>
    </r>
    <r>
      <rPr>
        <b/>
        <sz val="14"/>
        <color theme="1"/>
        <rFont val="Calibri"/>
        <family val="2"/>
        <scheme val="minor"/>
      </rPr>
      <t>Error</t>
    </r>
    <r>
      <rPr>
        <sz val="14"/>
        <color theme="1"/>
        <rFont val="Calibri"/>
        <family val="2"/>
        <scheme val="minor"/>
      </rPr>
      <t xml:space="preserve"> MS (w/i samples)</t>
    </r>
  </si>
  <si>
    <r>
      <rPr>
        <sz val="16"/>
        <color rgb="FFFF0000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>{.05[</t>
    </r>
    <r>
      <rPr>
        <sz val="10"/>
        <color rgb="FFFF0000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,</t>
    </r>
    <r>
      <rPr>
        <sz val="10"/>
        <color rgb="FFFF0000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]}</t>
    </r>
    <r>
      <rPr>
        <sz val="16"/>
        <color theme="1"/>
        <rFont val="Calibri"/>
        <family val="2"/>
        <scheme val="minor"/>
      </rPr>
      <t xml:space="preserve"> =</t>
    </r>
  </si>
  <si>
    <r>
      <rPr>
        <sz val="16"/>
        <color rgb="FFFF0000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>{.05[</t>
    </r>
    <r>
      <rPr>
        <sz val="10"/>
        <color rgb="FFFF0000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,</t>
    </r>
    <r>
      <rPr>
        <sz val="10"/>
        <color rgb="FFFF0000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]}</t>
    </r>
    <r>
      <rPr>
        <sz val="16"/>
        <color theme="1"/>
        <rFont val="Calibri"/>
        <family val="2"/>
        <scheme val="minor"/>
      </rPr>
      <t xml:space="preserve"> =</t>
    </r>
  </si>
  <si>
    <t>/</t>
  </si>
  <si>
    <t>∞</t>
  </si>
  <si>
    <r>
      <t>df</t>
    </r>
    <r>
      <rPr>
        <b/>
        <vertAlign val="subscript"/>
        <sz val="12"/>
        <color theme="1"/>
        <rFont val="Calibri"/>
        <family val="2"/>
      </rPr>
      <t>2</t>
    </r>
    <r>
      <rPr>
        <b/>
        <sz val="12"/>
        <color theme="1"/>
        <rFont val="Calibri"/>
        <family val="2"/>
      </rPr>
      <t>=1</t>
    </r>
  </si>
  <si>
    <r>
      <t>df</t>
    </r>
    <r>
      <rPr>
        <b/>
        <vertAlign val="subscript"/>
        <sz val="12"/>
        <color theme="1"/>
        <rFont val="Calibri"/>
        <family val="2"/>
      </rPr>
      <t>1</t>
    </r>
    <r>
      <rPr>
        <b/>
        <sz val="12"/>
        <color theme="1"/>
        <rFont val="Calibri"/>
        <family val="2"/>
      </rPr>
      <t>=1</t>
    </r>
  </si>
  <si>
    <t>Critical Values of the F distribution for p = 0.05</t>
  </si>
  <si>
    <t>© 2024 by Steven M Carr: rearranged from the Statistics Online Computational Resource (SOCR) of UCLA [http://socr.ucla.edu/Applets.dir/F_Table.html]</t>
  </si>
  <si>
    <t>Order</t>
  </si>
  <si>
    <t>German'</t>
  </si>
  <si>
    <t>Japanese'</t>
  </si>
  <si>
    <t>Korean'</t>
  </si>
  <si>
    <t>Group 2</t>
  </si>
  <si>
    <t>Group 1</t>
  </si>
  <si>
    <t>J</t>
  </si>
  <si>
    <t>Aka (Mbenga)</t>
  </si>
  <si>
    <t>Chi-Square calculations for MN data</t>
  </si>
  <si>
    <r>
      <t xml:space="preserve">(O - </t>
    </r>
    <r>
      <rPr>
        <b/>
        <i/>
        <sz val="12"/>
        <color theme="1"/>
        <rFont val="Calibri"/>
        <family val="2"/>
        <scheme val="minor"/>
      </rPr>
      <t>E</t>
    </r>
    <r>
      <rPr>
        <b/>
        <sz val="12"/>
        <color theme="1"/>
        <rFont val="Calibri"/>
        <family val="2"/>
        <scheme val="minor"/>
      </rPr>
      <t>)^2   / E</t>
    </r>
  </si>
  <si>
    <t>Papua NG</t>
  </si>
  <si>
    <t>EuroAmerican</t>
  </si>
  <si>
    <t>f(alleles)</t>
  </si>
  <si>
    <t>genotype counts</t>
  </si>
  <si>
    <t>Use three decimals</t>
  </si>
  <si>
    <r>
      <t xml:space="preserve">1) Copy </t>
    </r>
    <r>
      <rPr>
        <b/>
        <sz val="14"/>
        <color theme="1"/>
        <rFont val="Calibri"/>
        <family val="2"/>
        <scheme val="minor"/>
      </rPr>
      <t>MM MN NN</t>
    </r>
    <r>
      <rPr>
        <sz val="14"/>
        <color theme="1"/>
        <rFont val="Calibri"/>
        <family val="2"/>
        <scheme val="minor"/>
      </rPr>
      <t xml:space="preserve"> data from sample data</t>
    </r>
  </si>
  <si>
    <t>Instructions</t>
  </si>
  <si>
    <r>
      <t>INSTRUCTIONS</t>
    </r>
    <r>
      <rPr>
        <b/>
        <sz val="12"/>
        <color theme="1"/>
        <rFont val="Calibri"/>
        <family val="2"/>
        <scheme val="minor"/>
      </rPr>
      <t xml:space="preserve"> &amp; comments</t>
    </r>
  </si>
  <si>
    <t>d=(X-Y)</t>
  </si>
  <si>
    <t>d^2/y</t>
  </si>
  <si>
    <r>
      <t xml:space="preserve">The statistical significance of any proportional difference from expectation depends on </t>
    </r>
    <r>
      <rPr>
        <b/>
        <sz val="14"/>
        <color theme="1"/>
        <rFont val="Calibri"/>
        <family val="2"/>
        <scheme val="minor"/>
      </rPr>
      <t>sample size</t>
    </r>
  </si>
  <si>
    <r>
      <t xml:space="preserve">The sample size determines the </t>
    </r>
    <r>
      <rPr>
        <b/>
        <sz val="14"/>
        <color theme="1"/>
        <rFont val="Calibri"/>
        <family val="2"/>
        <scheme val="minor"/>
      </rPr>
      <t>Power</t>
    </r>
    <r>
      <rPr>
        <sz val="14"/>
        <color theme="1"/>
        <rFont val="Calibri"/>
        <family val="2"/>
        <scheme val="minor"/>
      </rPr>
      <t xml:space="preserve"> of the test</t>
    </r>
  </si>
  <si>
    <t>Note that the Chi-square value is not an artefact of the chance arrangement of the two series</t>
  </si>
  <si>
    <r>
      <t xml:space="preserve">The </t>
    </r>
    <r>
      <rPr>
        <b/>
        <sz val="14"/>
        <color theme="1"/>
        <rFont val="Calibri"/>
        <family val="2"/>
        <scheme val="minor"/>
      </rPr>
      <t>expected</t>
    </r>
    <r>
      <rPr>
        <sz val="14"/>
        <color theme="1"/>
        <rFont val="Calibri"/>
        <family val="2"/>
        <scheme val="minor"/>
      </rPr>
      <t xml:space="preserve"> value</t>
    </r>
    <r>
      <rPr>
        <b/>
        <i/>
        <sz val="14"/>
        <color theme="1"/>
        <rFont val="Calibri"/>
        <family val="2"/>
        <scheme val="minor"/>
      </rPr>
      <t xml:space="preserve"> y</t>
    </r>
    <r>
      <rPr>
        <sz val="14"/>
        <color theme="1"/>
        <rFont val="Calibri"/>
        <family val="2"/>
        <scheme val="minor"/>
      </rPr>
      <t xml:space="preserve"> is the mean of each data pair</t>
    </r>
  </si>
  <si>
    <r>
      <t>(O-</t>
    </r>
    <r>
      <rPr>
        <b/>
        <i/>
        <sz val="12"/>
        <color theme="1"/>
        <rFont val="Calibri"/>
        <family val="2"/>
        <scheme val="minor"/>
      </rPr>
      <t>E</t>
    </r>
    <r>
      <rPr>
        <b/>
        <sz val="12"/>
        <color theme="1"/>
        <rFont val="Calibri"/>
        <family val="2"/>
        <scheme val="minor"/>
      </rPr>
      <t>)^2   / E</t>
    </r>
  </si>
  <si>
    <r>
      <t xml:space="preserve">3) Chi-Square tests must be calculated from </t>
    </r>
    <r>
      <rPr>
        <b/>
        <i/>
        <sz val="14"/>
        <color theme="1"/>
        <rFont val="Calibri"/>
        <family val="2"/>
        <scheme val="minor"/>
      </rPr>
      <t>actual counts</t>
    </r>
  </si>
  <si>
    <r>
      <t xml:space="preserve">2) Chi-square can also test the departure of </t>
    </r>
    <r>
      <rPr>
        <i/>
        <sz val="14"/>
        <color theme="1"/>
        <rFont val="Calibri"/>
        <family val="2"/>
        <scheme val="minor"/>
      </rPr>
      <t>experimental</t>
    </r>
    <r>
      <rPr>
        <sz val="14"/>
        <color theme="1"/>
        <rFont val="Calibri"/>
        <family val="2"/>
        <scheme val="minor"/>
      </rPr>
      <t xml:space="preserve"> from </t>
    </r>
    <r>
      <rPr>
        <i/>
        <sz val="14"/>
        <color theme="1"/>
        <rFont val="Calibri"/>
        <family val="2"/>
        <scheme val="minor"/>
      </rPr>
      <t>expected</t>
    </r>
    <r>
      <rPr>
        <sz val="14"/>
        <color theme="1"/>
        <rFont val="Calibri"/>
        <family val="2"/>
        <scheme val="minor"/>
      </rPr>
      <t xml:space="preserve"> values, where the latter are determined by a </t>
    </r>
    <r>
      <rPr>
        <b/>
        <sz val="14"/>
        <color theme="1"/>
        <rFont val="Calibri"/>
        <family val="2"/>
        <scheme val="minor"/>
      </rPr>
      <t>model</t>
    </r>
  </si>
  <si>
    <t>K</t>
  </si>
  <si>
    <t>L</t>
  </si>
  <si>
    <t>Chi-Square calculations for single locus, two allele tests</t>
  </si>
  <si>
    <t>H(obs) =</t>
  </si>
  <si>
    <t>H(exp) =</t>
  </si>
  <si>
    <t xml:space="preserve">F = (Ho-He)/He = </t>
  </si>
  <si>
    <r>
      <t>3) Record '</t>
    </r>
    <r>
      <rPr>
        <b/>
        <sz val="14"/>
        <color theme="1"/>
        <rFont val="Calibri"/>
        <family val="2"/>
        <scheme val="minor"/>
      </rPr>
      <t>f(alleles)</t>
    </r>
    <r>
      <rPr>
        <sz val="14"/>
        <color theme="1"/>
        <rFont val="Calibri"/>
        <family val="2"/>
        <scheme val="minor"/>
      </rPr>
      <t xml:space="preserve">' for </t>
    </r>
    <r>
      <rPr>
        <b/>
        <sz val="14"/>
        <color theme="1"/>
        <rFont val="Calibri"/>
        <family val="2"/>
        <scheme val="minor"/>
      </rPr>
      <t>M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N</t>
    </r>
  </si>
  <si>
    <r>
      <t xml:space="preserve">4) Record </t>
    </r>
    <r>
      <rPr>
        <b/>
        <sz val="14"/>
        <color theme="1"/>
        <rFont val="Calibri"/>
        <family val="2"/>
        <scheme val="minor"/>
      </rPr>
      <t>Chi-Square value</t>
    </r>
    <r>
      <rPr>
        <sz val="14"/>
        <color theme="1"/>
        <rFont val="Calibri"/>
        <family val="2"/>
        <scheme val="minor"/>
      </rPr>
      <t xml:space="preserve">, determine </t>
    </r>
    <r>
      <rPr>
        <b/>
        <sz val="14"/>
        <color theme="1"/>
        <rFont val="Calibri"/>
        <family val="2"/>
        <scheme val="minor"/>
      </rPr>
      <t>Significance</t>
    </r>
    <r>
      <rPr>
        <sz val="14"/>
        <color theme="1"/>
        <rFont val="Calibri"/>
        <family val="2"/>
        <scheme val="minor"/>
      </rPr>
      <t xml:space="preserve"> from Table, note </t>
    </r>
    <r>
      <rPr>
        <b/>
        <sz val="14"/>
        <color theme="1"/>
        <rFont val="Calibri"/>
        <family val="2"/>
        <scheme val="minor"/>
      </rPr>
      <t># stars</t>
    </r>
  </si>
  <si>
    <r>
      <t xml:space="preserve">2) Paste </t>
    </r>
    <r>
      <rPr>
        <b/>
        <sz val="14"/>
        <color theme="1"/>
        <rFont val="Calibri"/>
        <family val="2"/>
        <scheme val="minor"/>
      </rPr>
      <t>row of three</t>
    </r>
    <r>
      <rPr>
        <sz val="14"/>
        <color theme="1"/>
        <rFont val="Calibri"/>
        <family val="2"/>
        <scheme val="minor"/>
      </rPr>
      <t xml:space="preserve"> into </t>
    </r>
    <r>
      <rPr>
        <b/>
        <sz val="14"/>
        <color theme="1"/>
        <rFont val="Calibri"/>
        <family val="2"/>
        <scheme val="minor"/>
      </rPr>
      <t xml:space="preserve">column of three </t>
    </r>
    <r>
      <rPr>
        <sz val="14"/>
        <color theme="1"/>
        <rFont val="Calibri"/>
        <family val="2"/>
        <scheme val="minor"/>
      </rPr>
      <t>under '</t>
    </r>
    <r>
      <rPr>
        <b/>
        <sz val="14"/>
        <color theme="1"/>
        <rFont val="Calibri"/>
        <family val="2"/>
        <scheme val="minor"/>
      </rPr>
      <t>Count (obs)</t>
    </r>
    <r>
      <rPr>
        <sz val="14"/>
        <color theme="1"/>
        <rFont val="Calibri"/>
        <family val="2"/>
        <scheme val="minor"/>
      </rPr>
      <t>' in table</t>
    </r>
  </si>
  <si>
    <r>
      <t>Highlight '</t>
    </r>
    <r>
      <rPr>
        <b/>
        <sz val="14"/>
        <color theme="1"/>
        <rFont val="Calibri"/>
        <family val="2"/>
        <scheme val="minor"/>
      </rPr>
      <t>Count (obs)</t>
    </r>
    <r>
      <rPr>
        <sz val="14"/>
        <color theme="1"/>
        <rFont val="Calibri"/>
        <family val="2"/>
        <scheme val="minor"/>
      </rPr>
      <t>' column, choose '</t>
    </r>
    <r>
      <rPr>
        <b/>
        <sz val="14"/>
        <color theme="1"/>
        <rFont val="Calibri"/>
        <family val="2"/>
        <scheme val="minor"/>
      </rPr>
      <t>Paste specia</t>
    </r>
    <r>
      <rPr>
        <sz val="14"/>
        <color theme="1"/>
        <rFont val="Calibri"/>
        <family val="2"/>
        <scheme val="minor"/>
      </rPr>
      <t>l'</t>
    </r>
  </si>
  <si>
    <r>
      <t>Copy &amp; paste values (Remember to '</t>
    </r>
    <r>
      <rPr>
        <b/>
        <sz val="14"/>
        <color theme="1"/>
        <rFont val="Calibri"/>
        <family val="2"/>
        <scheme val="minor"/>
      </rPr>
      <t>Transpose</t>
    </r>
    <r>
      <rPr>
        <sz val="14"/>
        <color theme="1"/>
        <rFont val="Calibri"/>
        <family val="2"/>
        <scheme val="minor"/>
      </rPr>
      <t>' '</t>
    </r>
    <r>
      <rPr>
        <b/>
        <sz val="14"/>
        <color theme="1"/>
        <rFont val="Calibri"/>
        <family val="2"/>
        <scheme val="minor"/>
      </rPr>
      <t>Values</t>
    </r>
    <r>
      <rPr>
        <sz val="14"/>
        <color theme="1"/>
        <rFont val="Calibri"/>
        <family val="2"/>
        <scheme val="minor"/>
      </rPr>
      <t>'), OR enter by hand</t>
    </r>
  </si>
  <si>
    <r>
      <t xml:space="preserve">Copy &amp; paste </t>
    </r>
    <r>
      <rPr>
        <b/>
        <sz val="14"/>
        <color theme="1"/>
        <rFont val="Calibri"/>
        <family val="2"/>
        <scheme val="minor"/>
      </rPr>
      <t>'</t>
    </r>
    <r>
      <rPr>
        <sz val="14"/>
        <color theme="1"/>
        <rFont val="Calibri"/>
        <family val="2"/>
        <scheme val="minor"/>
      </rPr>
      <t>Values</t>
    </r>
    <r>
      <rPr>
        <b/>
        <sz val="14"/>
        <color theme="1"/>
        <rFont val="Calibri"/>
        <family val="2"/>
        <scheme val="minor"/>
      </rPr>
      <t>'</t>
    </r>
    <r>
      <rPr>
        <sz val="14"/>
        <color theme="1"/>
        <rFont val="Calibri"/>
        <family val="2"/>
        <scheme val="minor"/>
      </rPr>
      <t xml:space="preserve"> only, from table OR record by hand</t>
    </r>
  </si>
  <si>
    <r>
      <rPr>
        <b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 is the difference between the </t>
    </r>
    <r>
      <rPr>
        <i/>
        <sz val="14"/>
        <color theme="1"/>
        <rFont val="Calibri"/>
        <family val="2"/>
        <scheme val="minor"/>
      </rPr>
      <t>observed</t>
    </r>
    <r>
      <rPr>
        <sz val="14"/>
        <color theme="1"/>
        <rFont val="Calibri"/>
        <family val="2"/>
        <scheme val="minor"/>
      </rPr>
      <t xml:space="preserve"> &amp; </t>
    </r>
    <r>
      <rPr>
        <i/>
        <sz val="14"/>
        <color theme="1"/>
        <rFont val="Calibri"/>
        <family val="2"/>
        <scheme val="minor"/>
      </rPr>
      <t>expected</t>
    </r>
    <r>
      <rPr>
        <sz val="14"/>
        <color theme="1"/>
        <rFont val="Calibri"/>
        <family val="2"/>
        <scheme val="minor"/>
      </rPr>
      <t xml:space="preserve"> heterozygosity, as a fraction of the </t>
    </r>
    <r>
      <rPr>
        <i/>
        <sz val="14"/>
        <color theme="1"/>
        <rFont val="Calibri"/>
        <family val="2"/>
        <scheme val="minor"/>
      </rPr>
      <t>expected</t>
    </r>
  </si>
  <si>
    <r>
      <rPr>
        <b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 thus measures the </t>
    </r>
    <r>
      <rPr>
        <i/>
        <sz val="14"/>
        <color theme="1"/>
        <rFont val="Calibri"/>
        <family val="2"/>
        <scheme val="minor"/>
      </rPr>
      <t>deficiency</t>
    </r>
    <r>
      <rPr>
        <sz val="14"/>
        <color theme="1"/>
        <rFont val="Calibri"/>
        <family val="2"/>
        <scheme val="minor"/>
      </rPr>
      <t xml:space="preserve"> (or </t>
    </r>
    <r>
      <rPr>
        <i/>
        <sz val="14"/>
        <color theme="1"/>
        <rFont val="Calibri"/>
        <family val="2"/>
        <scheme val="minor"/>
      </rPr>
      <t>excess</t>
    </r>
    <r>
      <rPr>
        <sz val="14"/>
        <color theme="1"/>
        <rFont val="Calibri"/>
        <family val="2"/>
        <scheme val="minor"/>
      </rPr>
      <t>) of heterozygotes</t>
    </r>
  </si>
  <si>
    <r>
      <rPr>
        <b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 xml:space="preserve"> is a quantitative measure of </t>
    </r>
    <r>
      <rPr>
        <i/>
        <sz val="14"/>
        <color theme="1"/>
        <rFont val="Calibri"/>
        <family val="2"/>
        <scheme val="minor"/>
      </rPr>
      <t>departure</t>
    </r>
    <r>
      <rPr>
        <sz val="14"/>
        <color theme="1"/>
        <rFont val="Calibri"/>
        <family val="2"/>
        <scheme val="minor"/>
      </rPr>
      <t xml:space="preserve"> from Hardy-Weinberg expectations</t>
    </r>
  </si>
  <si>
    <r>
      <rPr>
        <sz val="14"/>
        <rFont val="Calibri"/>
        <family val="2"/>
        <scheme val="minor"/>
      </rPr>
      <t>=</t>
    </r>
    <r>
      <rPr>
        <b/>
        <sz val="14"/>
        <rFont val="Calibri"/>
        <family val="2"/>
        <scheme val="minor"/>
      </rPr>
      <t xml:space="preserve"> G</t>
    </r>
  </si>
  <si>
    <t xml:space="preserve"> = G/g = G(adj) </t>
  </si>
  <si>
    <t>INSTRUCTIONS:</t>
  </si>
  <si>
    <r>
      <t xml:space="preserve">The </t>
    </r>
    <r>
      <rPr>
        <b/>
        <sz val="14"/>
        <color theme="1"/>
        <rFont val="Calibri"/>
        <family val="2"/>
        <scheme val="minor"/>
      </rPr>
      <t>G-test</t>
    </r>
    <r>
      <rPr>
        <sz val="14"/>
        <color theme="1"/>
        <rFont val="Calibri"/>
        <family val="2"/>
        <scheme val="minor"/>
      </rPr>
      <t xml:space="preserve"> is an improved test of independence (like Chi-square) that uses a </t>
    </r>
    <r>
      <rPr>
        <b/>
        <sz val="14"/>
        <color theme="1"/>
        <rFont val="Calibri"/>
        <family val="2"/>
        <scheme val="minor"/>
      </rPr>
      <t>data transformation</t>
    </r>
  </si>
  <si>
    <t>A data transformation alters the form of numerical data so that they conform to the assumptions of a statistical test</t>
  </si>
  <si>
    <t>lnX</t>
  </si>
  <si>
    <r>
      <t xml:space="preserve">Relative to </t>
    </r>
    <r>
      <rPr>
        <b/>
        <sz val="14"/>
        <color theme="1"/>
        <rFont val="Calibri"/>
        <family val="2"/>
        <scheme val="minor"/>
      </rPr>
      <t>Chi-square</t>
    </r>
    <r>
      <rPr>
        <sz val="14"/>
        <color theme="1"/>
        <rFont val="Calibri"/>
        <family val="2"/>
        <scheme val="minor"/>
      </rPr>
      <t xml:space="preserve">, the </t>
    </r>
    <r>
      <rPr>
        <b/>
        <sz val="14"/>
        <color theme="1"/>
        <rFont val="Calibri"/>
        <family val="2"/>
        <scheme val="minor"/>
      </rPr>
      <t>G-test</t>
    </r>
    <r>
      <rPr>
        <sz val="14"/>
        <color theme="1"/>
        <rFont val="Calibri"/>
        <family val="2"/>
        <scheme val="minor"/>
      </rPr>
      <t xml:space="preserve"> is more sensitive to deviations among small values.</t>
    </r>
  </si>
  <si>
    <r>
      <t>Pearson Chi-Square test</t>
    </r>
    <r>
      <rPr>
        <sz val="12"/>
        <color theme="1"/>
        <rFont val="Calibri"/>
        <family val="2"/>
        <scheme val="minor"/>
      </rPr>
      <t xml:space="preserve"> (after Sokal &amp; Rohlf 1969)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of </t>
    </r>
    <r>
      <rPr>
        <b/>
        <sz val="16"/>
        <color theme="1"/>
        <rFont val="Calibri"/>
        <family val="2"/>
        <scheme val="minor"/>
      </rPr>
      <t>ABO</t>
    </r>
    <r>
      <rPr>
        <sz val="16"/>
        <color theme="1"/>
        <rFont val="Calibri"/>
        <family val="2"/>
        <scheme val="minor"/>
      </rPr>
      <t xml:space="preserve"> blood type data</t>
    </r>
  </si>
  <si>
    <t>Pairwise test of independence for A B AB O data, by the G-test</t>
  </si>
  <si>
    <t>Madeup2</t>
  </si>
  <si>
    <t>Madeup1</t>
  </si>
  <si>
    <t>MadeUp%</t>
  </si>
  <si>
    <r>
      <t xml:space="preserve">Copy </t>
    </r>
    <r>
      <rPr>
        <b/>
        <i/>
        <sz val="14"/>
        <color theme="1"/>
        <rFont val="Calibri"/>
        <family val="2"/>
        <scheme val="minor"/>
      </rPr>
      <t>Reconstructed</t>
    </r>
    <r>
      <rPr>
        <sz val="14"/>
        <color theme="1"/>
        <rFont val="Calibri"/>
        <family val="2"/>
        <scheme val="minor"/>
      </rPr>
      <t xml:space="preserve"> row data as column data under </t>
    </r>
    <r>
      <rPr>
        <b/>
        <sz val="14"/>
        <color theme="1"/>
        <rFont val="Calibri"/>
        <family val="2"/>
        <scheme val="minor"/>
      </rPr>
      <t>Type II</t>
    </r>
  </si>
  <si>
    <r>
      <t>Record</t>
    </r>
    <r>
      <rPr>
        <b/>
        <sz val="14"/>
        <color theme="1"/>
        <rFont val="Calibri"/>
        <family val="2"/>
        <scheme val="minor"/>
      </rPr>
      <t xml:space="preserve"> G-test</t>
    </r>
    <r>
      <rPr>
        <sz val="14"/>
        <color theme="1"/>
        <rFont val="Calibri"/>
        <family val="2"/>
        <scheme val="minor"/>
      </rPr>
      <t xml:space="preserve"> value, assess significance with </t>
    </r>
    <r>
      <rPr>
        <b/>
        <sz val="14"/>
        <color theme="1"/>
        <rFont val="Calibri"/>
        <family val="2"/>
        <scheme val="minor"/>
      </rPr>
      <t>df = 3</t>
    </r>
  </si>
  <si>
    <t>Aka (Mbenga) from Cavalli-Sforza &amp; Bodmer (1971)</t>
  </si>
  <si>
    <r>
      <t xml:space="preserve">This arrangement compares </t>
    </r>
    <r>
      <rPr>
        <i/>
        <sz val="14"/>
        <color theme="1"/>
        <rFont val="Calibri"/>
        <family val="2"/>
        <scheme val="minor"/>
      </rPr>
      <t>two categories</t>
    </r>
    <r>
      <rPr>
        <sz val="14"/>
        <color theme="1"/>
        <rFont val="Calibri"/>
        <family val="2"/>
        <scheme val="minor"/>
      </rPr>
      <t xml:space="preserve"> of frequencies for </t>
    </r>
    <r>
      <rPr>
        <b/>
        <sz val="14"/>
        <color theme="1"/>
        <rFont val="Calibri"/>
        <family val="2"/>
        <scheme val="minor"/>
      </rPr>
      <t>A B AB O</t>
    </r>
    <r>
      <rPr>
        <sz val="14"/>
        <color theme="1"/>
        <rFont val="Calibri"/>
        <family val="2"/>
        <scheme val="minor"/>
      </rPr>
      <t xml:space="preserve"> bloodtypes, where categories are</t>
    </r>
  </si>
  <si>
    <r>
      <t>1) Values from</t>
    </r>
    <r>
      <rPr>
        <i/>
        <sz val="14"/>
        <color theme="1"/>
        <rFont val="Calibri"/>
        <family val="2"/>
        <scheme val="minor"/>
      </rPr>
      <t xml:space="preserve"> two different groups</t>
    </r>
    <r>
      <rPr>
        <sz val="14"/>
        <color theme="1"/>
        <rFont val="Calibri"/>
        <family val="2"/>
        <scheme val="minor"/>
      </rPr>
      <t>, or</t>
    </r>
  </si>
  <si>
    <r>
      <rPr>
        <i/>
        <sz val="14"/>
        <color theme="1"/>
        <rFont val="Calibri"/>
        <family val="2"/>
        <scheme val="minor"/>
      </rPr>
      <t>2) Observed</t>
    </r>
    <r>
      <rPr>
        <sz val="14"/>
        <color theme="1"/>
        <rFont val="Calibri"/>
        <family val="2"/>
        <scheme val="minor"/>
      </rPr>
      <t xml:space="preserve"> versus </t>
    </r>
    <r>
      <rPr>
        <i/>
        <sz val="14"/>
        <color theme="1"/>
        <rFont val="Calibri"/>
        <family val="2"/>
        <scheme val="minor"/>
      </rPr>
      <t>expected</t>
    </r>
    <r>
      <rPr>
        <sz val="14"/>
        <color theme="1"/>
        <rFont val="Calibri"/>
        <family val="2"/>
        <scheme val="minor"/>
      </rPr>
      <t xml:space="preserve"> values for a single population</t>
    </r>
  </si>
  <si>
    <r>
      <t xml:space="preserve">Copy </t>
    </r>
    <r>
      <rPr>
        <b/>
        <sz val="14"/>
        <color theme="1"/>
        <rFont val="Calibri"/>
        <family val="2"/>
        <scheme val="minor"/>
      </rPr>
      <t>A B AB O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row</t>
    </r>
    <r>
      <rPr>
        <sz val="14"/>
        <color theme="1"/>
        <rFont val="Calibri"/>
        <family val="2"/>
        <scheme val="minor"/>
      </rPr>
      <t xml:space="preserve"> data from </t>
    </r>
    <r>
      <rPr>
        <i/>
        <sz val="14"/>
        <color theme="1"/>
        <rFont val="Calibri"/>
        <family val="2"/>
        <scheme val="minor"/>
      </rPr>
      <t>two</t>
    </r>
    <r>
      <rPr>
        <sz val="14"/>
        <color theme="1"/>
        <rFont val="Calibri"/>
        <family val="2"/>
        <scheme val="minor"/>
      </rPr>
      <t xml:space="preserve"> populations as </t>
    </r>
    <r>
      <rPr>
        <i/>
        <sz val="14"/>
        <color theme="1"/>
        <rFont val="Calibri"/>
        <family val="2"/>
        <scheme val="minor"/>
      </rPr>
      <t>column</t>
    </r>
    <r>
      <rPr>
        <sz val="14"/>
        <color theme="1"/>
        <rFont val="Calibri"/>
        <family val="2"/>
        <scheme val="minor"/>
      </rPr>
      <t xml:space="preserve"> data under </t>
    </r>
    <r>
      <rPr>
        <b/>
        <sz val="14"/>
        <color theme="1"/>
        <rFont val="Calibri"/>
        <family val="2"/>
        <scheme val="minor"/>
      </rPr>
      <t>Columns I &amp; II</t>
    </r>
  </si>
  <si>
    <r>
      <t>Copy row data, '</t>
    </r>
    <r>
      <rPr>
        <b/>
        <sz val="14"/>
        <color theme="1"/>
        <rFont val="Calibri"/>
        <family val="2"/>
        <scheme val="minor"/>
      </rPr>
      <t>Paste Special</t>
    </r>
    <r>
      <rPr>
        <sz val="14"/>
        <color theme="1"/>
        <rFont val="Calibri"/>
        <family val="2"/>
        <scheme val="minor"/>
      </rPr>
      <t>' with '</t>
    </r>
    <r>
      <rPr>
        <b/>
        <sz val="14"/>
        <color theme="1"/>
        <rFont val="Calibri"/>
        <family val="2"/>
        <scheme val="minor"/>
      </rPr>
      <t>Values</t>
    </r>
    <r>
      <rPr>
        <sz val="14"/>
        <color theme="1"/>
        <rFont val="Calibri"/>
        <family val="2"/>
        <scheme val="minor"/>
      </rPr>
      <t>' &amp; '</t>
    </r>
    <r>
      <rPr>
        <b/>
        <sz val="14"/>
        <color theme="1"/>
        <rFont val="Calibri"/>
        <family val="2"/>
        <scheme val="minor"/>
      </rPr>
      <t>Transponse</t>
    </r>
    <r>
      <rPr>
        <sz val="14"/>
        <color theme="1"/>
        <rFont val="Calibri"/>
        <family val="2"/>
        <scheme val="minor"/>
      </rPr>
      <t>'</t>
    </r>
  </si>
  <si>
    <r>
      <rPr>
        <b/>
        <sz val="14"/>
        <color theme="1"/>
        <rFont val="Calibri"/>
        <family val="2"/>
        <scheme val="minor"/>
      </rPr>
      <t>Record X^2, assess significance</t>
    </r>
    <r>
      <rPr>
        <sz val="14"/>
        <color theme="1"/>
        <rFont val="Calibri"/>
        <family val="2"/>
        <scheme val="minor"/>
      </rPr>
      <t>; repeat with smaller and larger sample sizes. Does it make a difference?</t>
    </r>
  </si>
  <si>
    <r>
      <t xml:space="preserve">RXC Test of Independence with the G-test </t>
    </r>
    <r>
      <rPr>
        <sz val="12"/>
        <color theme="1"/>
        <rFont val="Calibri"/>
        <family val="2"/>
        <scheme val="minor"/>
      </rPr>
      <t>(after Sokal &amp; Rohlf 2012, pp 753-754)</t>
    </r>
  </si>
  <si>
    <r>
      <rPr>
        <b/>
        <sz val="14"/>
        <color theme="1"/>
        <rFont val="Calibri"/>
        <family val="2"/>
        <scheme val="minor"/>
      </rPr>
      <t>The transformation increases the influence of smaller values of X</t>
    </r>
    <r>
      <rPr>
        <sz val="14"/>
        <color theme="1"/>
        <rFont val="Calibri"/>
        <family val="2"/>
        <scheme val="minor"/>
      </rPr>
      <t>, while maintaining a linear relationship for larger values</t>
    </r>
  </si>
  <si>
    <t>df / p</t>
  </si>
  <si>
    <t>Z</t>
  </si>
  <si>
    <r>
      <t xml:space="preserve">e.g., comparing acidity of ponds by  </t>
    </r>
    <r>
      <rPr>
        <b/>
        <sz val="14"/>
        <color theme="1"/>
        <rFont val="Calibri"/>
        <family val="2"/>
        <scheme val="minor"/>
      </rPr>
      <t>pH</t>
    </r>
    <r>
      <rPr>
        <sz val="14"/>
        <color theme="1"/>
        <rFont val="Calibri"/>
        <family val="2"/>
        <scheme val="minor"/>
      </rPr>
      <t xml:space="preserve"> is inaccurate, since </t>
    </r>
    <r>
      <rPr>
        <b/>
        <sz val="14"/>
        <color theme="1"/>
        <rFont val="Calibri"/>
        <family val="2"/>
        <scheme val="minor"/>
      </rPr>
      <t>pH</t>
    </r>
    <r>
      <rPr>
        <sz val="14"/>
        <color theme="1"/>
        <rFont val="Calibri"/>
        <family val="2"/>
        <scheme val="minor"/>
      </rPr>
      <t xml:space="preserve"> actually measure </t>
    </r>
    <r>
      <rPr>
        <b/>
        <sz val="14"/>
        <color theme="1"/>
        <rFont val="Calibri"/>
        <family val="2"/>
        <scheme val="minor"/>
      </rPr>
      <t>log10[H]</t>
    </r>
  </si>
  <si>
    <r>
      <t xml:space="preserve">= </t>
    </r>
    <r>
      <rPr>
        <b/>
        <sz val="14"/>
        <color theme="1"/>
        <rFont val="Calibri"/>
        <family val="2"/>
        <scheme val="minor"/>
      </rPr>
      <t>g</t>
    </r>
  </si>
  <si>
    <r>
      <t xml:space="preserve">The </t>
    </r>
    <r>
      <rPr>
        <b/>
        <sz val="14"/>
        <color theme="1"/>
        <rFont val="Calibri"/>
        <family val="2"/>
        <scheme val="minor"/>
      </rPr>
      <t>G-test</t>
    </r>
    <r>
      <rPr>
        <sz val="14"/>
        <color theme="1"/>
        <rFont val="Calibri"/>
        <family val="2"/>
        <scheme val="minor"/>
      </rPr>
      <t xml:space="preserve"> transformation of </t>
    </r>
    <r>
      <rPr>
        <b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 xml:space="preserve"> is </t>
    </r>
    <r>
      <rPr>
        <b/>
        <sz val="14"/>
        <color theme="1"/>
        <rFont val="Calibri"/>
        <family val="2"/>
        <scheme val="minor"/>
      </rPr>
      <t>X</t>
    </r>
    <r>
      <rPr>
        <b/>
        <i/>
        <sz val="14"/>
        <color theme="1"/>
        <rFont val="Calibri"/>
        <family val="2"/>
        <scheme val="minor"/>
      </rPr>
      <t>lnX</t>
    </r>
    <r>
      <rPr>
        <sz val="14"/>
        <color theme="1"/>
        <rFont val="Calibri"/>
        <family val="2"/>
        <scheme val="minor"/>
      </rPr>
      <t xml:space="preserve">, where </t>
    </r>
    <r>
      <rPr>
        <b/>
        <i/>
        <sz val="14"/>
        <color theme="1"/>
        <rFont val="Calibri"/>
        <family val="2"/>
        <scheme val="minor"/>
      </rPr>
      <t>lnX</t>
    </r>
    <r>
      <rPr>
        <sz val="14"/>
        <color theme="1"/>
        <rFont val="Calibri"/>
        <family val="2"/>
        <scheme val="minor"/>
      </rPr>
      <t xml:space="preserve"> is the </t>
    </r>
    <r>
      <rPr>
        <i/>
        <sz val="14"/>
        <color theme="1"/>
        <rFont val="Calibri"/>
        <family val="2"/>
        <scheme val="minor"/>
      </rPr>
      <t>natural logarithm</t>
    </r>
    <r>
      <rPr>
        <sz val="14"/>
        <color theme="1"/>
        <rFont val="Calibri"/>
        <family val="2"/>
        <scheme val="minor"/>
      </rPr>
      <t xml:space="preserve"> of </t>
    </r>
    <r>
      <rPr>
        <b/>
        <sz val="14"/>
        <color theme="1"/>
        <rFont val="Calibri"/>
        <family val="2"/>
        <scheme val="minor"/>
      </rPr>
      <t>X</t>
    </r>
  </si>
  <si>
    <r>
      <t>Estimation of A B O frequencies from A B AB O data, Likelihood method</t>
    </r>
    <r>
      <rPr>
        <sz val="16"/>
        <color theme="1"/>
        <rFont val="Calibri"/>
        <family val="2"/>
        <scheme val="minor"/>
      </rPr>
      <t xml:space="preserve"> of Cavalli-Sforza &amp; Bodmer (1971), with </t>
    </r>
    <r>
      <rPr>
        <b/>
        <sz val="16"/>
        <color theme="1"/>
        <rFont val="Calibri"/>
        <family val="2"/>
        <scheme val="minor"/>
      </rPr>
      <t>Williams Correction</t>
    </r>
  </si>
  <si>
    <r>
      <t xml:space="preserve">A </t>
    </r>
    <r>
      <rPr>
        <b/>
        <sz val="11"/>
        <color theme="1"/>
        <rFont val="Calibri"/>
        <family val="2"/>
        <scheme val="minor"/>
      </rPr>
      <t>one-tailed test</t>
    </r>
    <r>
      <rPr>
        <sz val="11"/>
        <color theme="1"/>
        <rFont val="Calibri"/>
        <family val="2"/>
        <scheme val="minor"/>
      </rPr>
      <t xml:space="preserve"> assumes </t>
    </r>
    <r>
      <rPr>
        <i/>
        <sz val="11"/>
        <color theme="1"/>
        <rFont val="Calibri"/>
        <family val="2"/>
        <scheme val="minor"/>
      </rPr>
      <t>a priori</t>
    </r>
    <r>
      <rPr>
        <sz val="11"/>
        <color theme="1"/>
        <rFont val="Calibri"/>
        <family val="2"/>
        <scheme val="minor"/>
      </rPr>
      <t xml:space="preserve"> which way the deviation will go, and assigns the probability to one tail.</t>
    </r>
  </si>
  <si>
    <r>
      <t xml:space="preserve">A </t>
    </r>
    <r>
      <rPr>
        <b/>
        <sz val="11"/>
        <color theme="1"/>
        <rFont val="Calibri"/>
        <family val="2"/>
        <scheme val="minor"/>
      </rPr>
      <t xml:space="preserve">two-tailed test </t>
    </r>
    <r>
      <rPr>
        <sz val="11"/>
        <color theme="1"/>
        <rFont val="Calibri"/>
        <family val="2"/>
        <scheme val="minor"/>
      </rPr>
      <t xml:space="preserve">makes </t>
    </r>
    <r>
      <rPr>
        <i/>
        <sz val="11"/>
        <color theme="1"/>
        <rFont val="Calibri"/>
        <family val="2"/>
        <scheme val="minor"/>
      </rPr>
      <t>no assumption</t>
    </r>
    <r>
      <rPr>
        <sz val="11"/>
        <color theme="1"/>
        <rFont val="Calibri"/>
        <family val="2"/>
        <scheme val="minor"/>
      </rPr>
      <t xml:space="preserve"> which way the deviation will go, and divides the probability equally between the two tails.</t>
    </r>
  </si>
  <si>
    <r>
      <t xml:space="preserve">Thus for </t>
    </r>
    <r>
      <rPr>
        <b/>
        <sz val="11"/>
        <color theme="1"/>
        <rFont val="Calibri"/>
        <family val="2"/>
        <scheme val="minor"/>
      </rPr>
      <t>df=4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t &gt; 2.78</t>
    </r>
    <r>
      <rPr>
        <sz val="11"/>
        <color theme="1"/>
        <rFont val="Calibri"/>
        <family val="2"/>
        <scheme val="minor"/>
      </rPr>
      <t xml:space="preserve"> indicates p &lt; 0.05 for a </t>
    </r>
    <r>
      <rPr>
        <i/>
        <sz val="11"/>
        <color theme="1"/>
        <rFont val="Calibri"/>
        <family val="2"/>
        <scheme val="minor"/>
      </rPr>
      <t>two</t>
    </r>
    <r>
      <rPr>
        <sz val="11"/>
        <color theme="1"/>
        <rFont val="Calibri"/>
        <family val="2"/>
        <scheme val="minor"/>
      </rPr>
      <t xml:space="preserve">-tailed test,                    and </t>
    </r>
    <r>
      <rPr>
        <sz val="11"/>
        <color rgb="FFFF0000"/>
        <rFont val="Calibri"/>
        <family val="2"/>
        <scheme val="minor"/>
      </rPr>
      <t>t &gt; 2.13</t>
    </r>
    <r>
      <rPr>
        <sz val="11"/>
        <color theme="1"/>
        <rFont val="Calibri"/>
        <family val="2"/>
        <scheme val="minor"/>
      </rPr>
      <t xml:space="preserve"> indicates p &lt; 0.05 for a </t>
    </r>
    <r>
      <rPr>
        <i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>-tailed test</t>
    </r>
  </si>
  <si>
    <r>
      <t xml:space="preserve">As </t>
    </r>
    <r>
      <rPr>
        <b/>
        <sz val="11"/>
        <color theme="1"/>
        <rFont val="Calibri"/>
        <family val="2"/>
        <scheme val="minor"/>
      </rPr>
      <t>2.13 &lt; 2.78</t>
    </r>
    <r>
      <rPr>
        <sz val="11"/>
        <color theme="1"/>
        <rFont val="Calibri"/>
        <family val="2"/>
        <scheme val="minor"/>
      </rPr>
      <t xml:space="preserve"> makes it easier to prove significance, </t>
    </r>
    <r>
      <rPr>
        <i/>
        <sz val="11"/>
        <color theme="1"/>
        <rFont val="Calibri"/>
        <family val="2"/>
        <scheme val="minor"/>
      </rPr>
      <t>avoid</t>
    </r>
    <r>
      <rPr>
        <sz val="11"/>
        <color theme="1"/>
        <rFont val="Calibri"/>
        <family val="2"/>
        <scheme val="minor"/>
      </rPr>
      <t xml:space="preserve"> the temptation to assume an unwarranted one-tailed hypothesis</t>
    </r>
  </si>
  <si>
    <r>
      <t xml:space="preserve">In a </t>
    </r>
    <r>
      <rPr>
        <b/>
        <sz val="14"/>
        <color theme="1"/>
        <rFont val="Calibri"/>
        <family val="2"/>
        <scheme val="minor"/>
      </rPr>
      <t>row x column test</t>
    </r>
    <r>
      <rPr>
        <sz val="14"/>
        <color theme="1"/>
        <rFont val="Calibri"/>
        <family val="2"/>
        <scheme val="minor"/>
      </rPr>
      <t xml:space="preserve">, </t>
    </r>
    <r>
      <rPr>
        <b/>
        <sz val="14"/>
        <color theme="1"/>
        <rFont val="Calibri"/>
        <family val="2"/>
        <scheme val="minor"/>
      </rPr>
      <t>df1</t>
    </r>
    <r>
      <rPr>
        <sz val="14"/>
        <color theme="1"/>
        <rFont val="Calibri"/>
        <family val="2"/>
        <scheme val="minor"/>
      </rPr>
      <t xml:space="preserve"> is typically figured from the number of </t>
    </r>
    <r>
      <rPr>
        <b/>
        <sz val="14"/>
        <color theme="1"/>
        <rFont val="Calibri"/>
        <family val="2"/>
        <scheme val="minor"/>
      </rPr>
      <t>columns</t>
    </r>
    <r>
      <rPr>
        <sz val="14"/>
        <color theme="1"/>
        <rFont val="Calibri"/>
        <family val="2"/>
        <scheme val="minor"/>
      </rPr>
      <t xml:space="preserve"> (number of </t>
    </r>
    <r>
      <rPr>
        <b/>
        <sz val="14"/>
        <color theme="1"/>
        <rFont val="Calibri"/>
        <family val="2"/>
        <scheme val="minor"/>
      </rPr>
      <t>groups</t>
    </r>
    <r>
      <rPr>
        <sz val="14"/>
        <color theme="1"/>
        <rFont val="Calibri"/>
        <family val="2"/>
        <scheme val="minor"/>
      </rPr>
      <t xml:space="preserve">), and </t>
    </r>
    <r>
      <rPr>
        <b/>
        <sz val="14"/>
        <color theme="1"/>
        <rFont val="Calibri"/>
        <family val="2"/>
        <scheme val="minor"/>
      </rPr>
      <t>df2</t>
    </r>
    <r>
      <rPr>
        <sz val="14"/>
        <color theme="1"/>
        <rFont val="Calibri"/>
        <family val="2"/>
        <scheme val="minor"/>
      </rPr>
      <t xml:space="preserve"> from the the number of </t>
    </r>
    <r>
      <rPr>
        <b/>
        <sz val="14"/>
        <color theme="1"/>
        <rFont val="Calibri"/>
        <family val="2"/>
        <scheme val="minor"/>
      </rPr>
      <t>rows</t>
    </r>
    <r>
      <rPr>
        <sz val="14"/>
        <color theme="1"/>
        <rFont val="Calibri"/>
        <family val="2"/>
        <scheme val="minor"/>
      </rPr>
      <t xml:space="preserve"> (</t>
    </r>
    <r>
      <rPr>
        <b/>
        <sz val="14"/>
        <color theme="1"/>
        <rFont val="Calibri"/>
        <family val="2"/>
        <scheme val="minor"/>
      </rPr>
      <t>samples</t>
    </r>
    <r>
      <rPr>
        <sz val="14"/>
        <color theme="1"/>
        <rFont val="Calibri"/>
        <family val="2"/>
        <scheme val="minor"/>
      </rPr>
      <t xml:space="preserve"> in each group)</t>
    </r>
  </si>
  <si>
    <r>
      <t xml:space="preserve">For example, in a comparison of two groups with 10 samples each, </t>
    </r>
    <r>
      <rPr>
        <b/>
        <sz val="14"/>
        <color theme="1"/>
        <rFont val="Calibri"/>
        <family val="2"/>
        <scheme val="minor"/>
      </rPr>
      <t>df1</t>
    </r>
    <r>
      <rPr>
        <sz val="14"/>
        <color theme="1"/>
        <rFont val="Calibri"/>
        <family val="2"/>
        <scheme val="minor"/>
      </rPr>
      <t xml:space="preserve"> = (2 - 1) = </t>
    </r>
    <r>
      <rPr>
        <b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, and </t>
    </r>
    <r>
      <rPr>
        <b/>
        <sz val="14"/>
        <color theme="1"/>
        <rFont val="Calibri"/>
        <family val="2"/>
        <scheme val="minor"/>
      </rPr>
      <t>df2</t>
    </r>
    <r>
      <rPr>
        <sz val="14"/>
        <color theme="1"/>
        <rFont val="Calibri"/>
        <family val="2"/>
        <scheme val="minor"/>
      </rPr>
      <t xml:space="preserve"> = (10 - 1) + (10 - 1) =</t>
    </r>
    <r>
      <rPr>
        <b/>
        <sz val="14"/>
        <color theme="1"/>
        <rFont val="Calibri"/>
        <family val="2"/>
        <scheme val="minor"/>
      </rPr>
      <t xml:space="preserve"> 18, </t>
    </r>
    <r>
      <rPr>
        <sz val="14"/>
        <color theme="1"/>
        <rFont val="Calibri"/>
        <family val="2"/>
        <scheme val="minor"/>
      </rPr>
      <t xml:space="preserve">so </t>
    </r>
    <r>
      <rPr>
        <b/>
        <sz val="14"/>
        <color theme="1"/>
        <rFont val="Calibri"/>
        <family val="2"/>
        <scheme val="minor"/>
      </rPr>
      <t>df1 x df2</t>
    </r>
    <r>
      <rPr>
        <sz val="14"/>
        <color theme="1"/>
        <rFont val="Calibri"/>
        <family val="2"/>
        <scheme val="minor"/>
      </rPr>
      <t xml:space="preserve"> = 1 x 18 = 18</t>
    </r>
  </si>
  <si>
    <r>
      <t>Then the critical value for the</t>
    </r>
    <r>
      <rPr>
        <b/>
        <sz val="14"/>
        <color theme="1"/>
        <rFont val="Calibri"/>
        <family val="2"/>
        <scheme val="minor"/>
      </rPr>
      <t xml:space="preserve"> F</t>
    </r>
    <r>
      <rPr>
        <sz val="14"/>
        <color theme="1"/>
        <rFont val="Calibri"/>
        <family val="2"/>
        <scheme val="minor"/>
      </rPr>
      <t xml:space="preserve"> test at</t>
    </r>
    <r>
      <rPr>
        <b/>
        <sz val="14"/>
        <color theme="1"/>
        <rFont val="Calibri"/>
        <family val="2"/>
        <scheme val="minor"/>
      </rPr>
      <t xml:space="preserve"> p = 0.05</t>
    </r>
    <r>
      <rPr>
        <sz val="14"/>
        <color theme="1"/>
        <rFont val="Calibri"/>
        <family val="2"/>
        <scheme val="minor"/>
      </rPr>
      <t xml:space="preserve"> is</t>
    </r>
    <r>
      <rPr>
        <b/>
        <sz val="14"/>
        <color theme="1"/>
        <rFont val="Calibri"/>
        <family val="2"/>
        <scheme val="minor"/>
      </rPr>
      <t xml:space="preserve"> F</t>
    </r>
    <r>
      <rPr>
        <b/>
        <sz val="10"/>
        <color theme="1"/>
        <rFont val="Calibri"/>
        <family val="2"/>
        <scheme val="minor"/>
      </rPr>
      <t>0.05[1,18]</t>
    </r>
    <r>
      <rPr>
        <b/>
        <sz val="14"/>
        <color theme="1"/>
        <rFont val="Calibri"/>
        <family val="2"/>
        <scheme val="minor"/>
      </rPr>
      <t xml:space="preserve"> = 4.414</t>
    </r>
  </si>
  <si>
    <r>
      <rPr>
        <b/>
        <i/>
        <sz val="14"/>
        <color theme="1"/>
        <rFont val="Calibri"/>
        <family val="2"/>
        <scheme val="minor"/>
      </rPr>
      <t>t</t>
    </r>
    <r>
      <rPr>
        <b/>
        <sz val="14"/>
        <color theme="1"/>
        <rFont val="Calibri"/>
        <family val="2"/>
        <scheme val="minor"/>
      </rPr>
      <t xml:space="preserve"> = </t>
    </r>
  </si>
  <si>
    <t>if n&gt;&gt;1, t = (u1 - u2)/s1</t>
  </si>
  <si>
    <t>Observed data out of 1,000</t>
  </si>
  <si>
    <r>
      <t xml:space="preserve">Are there any Continental or other geographic trends in </t>
    </r>
    <r>
      <rPr>
        <b/>
        <sz val="14"/>
        <color rgb="FFFF0000"/>
        <rFont val="Calibri"/>
        <family val="2"/>
        <scheme val="minor"/>
      </rPr>
      <t>f(M)</t>
    </r>
    <r>
      <rPr>
        <sz val="14"/>
        <color rgb="FFFF0000"/>
        <rFont val="Calibri"/>
        <family val="2"/>
        <scheme val="minor"/>
      </rPr>
      <t xml:space="preserve"> ?</t>
    </r>
  </si>
  <si>
    <r>
      <t xml:space="preserve">5) </t>
    </r>
    <r>
      <rPr>
        <b/>
        <sz val="14"/>
        <color rgb="FFFF0000"/>
        <rFont val="Calibri"/>
        <family val="2"/>
        <scheme val="minor"/>
      </rPr>
      <t>REPEAT</t>
    </r>
    <r>
      <rPr>
        <sz val="14"/>
        <color rgb="FFFF0000"/>
        <rFont val="Calibri"/>
        <family val="2"/>
        <scheme val="minor"/>
      </rPr>
      <t xml:space="preserve"> for ethnogeographic data at left:</t>
    </r>
  </si>
  <si>
    <t>Are populations from the same island or adjacent islands more similar than those more distant?</t>
  </si>
  <si>
    <r>
      <t xml:space="preserve">Use </t>
    </r>
    <r>
      <rPr>
        <b/>
        <sz val="14"/>
        <color theme="1"/>
        <rFont val="Calibri"/>
        <family val="2"/>
        <scheme val="minor"/>
      </rPr>
      <t>pairwise</t>
    </r>
    <r>
      <rPr>
        <sz val="14"/>
        <color theme="1"/>
        <rFont val="Calibri"/>
        <family val="2"/>
        <scheme val="minor"/>
      </rPr>
      <t xml:space="preserve"> combinations of</t>
    </r>
    <r>
      <rPr>
        <b/>
        <sz val="14"/>
        <color theme="1"/>
        <rFont val="Calibri"/>
        <family val="2"/>
        <scheme val="minor"/>
      </rPr>
      <t xml:space="preserve"> X &amp; Y, X &amp; Z, &amp; Y &amp; Z</t>
    </r>
    <r>
      <rPr>
        <sz val="14"/>
        <color theme="1"/>
        <rFont val="Calibri"/>
        <family val="2"/>
        <scheme val="minor"/>
      </rPr>
      <t xml:space="preserve"> from the column data</t>
    </r>
  </si>
  <si>
    <r>
      <rPr>
        <sz val="14"/>
        <color rgb="FFFF0000"/>
        <rFont val="Calibri"/>
        <family val="2"/>
        <scheme val="minor"/>
      </rPr>
      <t>Copy &amp; Paste</t>
    </r>
    <r>
      <rPr>
        <sz val="14"/>
        <color theme="1"/>
        <rFont val="Calibri"/>
        <family val="2"/>
        <scheme val="minor"/>
      </rPr>
      <t xml:space="preserve"> or </t>
    </r>
    <r>
      <rPr>
        <sz val="14"/>
        <color rgb="FFFF0000"/>
        <rFont val="Calibri"/>
        <family val="2"/>
        <scheme val="minor"/>
      </rPr>
      <t>type</t>
    </r>
    <r>
      <rPr>
        <sz val="14"/>
        <color theme="1"/>
        <rFont val="Calibri"/>
        <family val="2"/>
        <scheme val="minor"/>
      </rPr>
      <t xml:space="preserve"> two equal series into the two columns</t>
    </r>
  </si>
  <si>
    <r>
      <rPr>
        <b/>
        <sz val="14"/>
        <color rgb="FFFF0000"/>
        <rFont val="Calibri"/>
        <family val="2"/>
        <scheme val="minor"/>
      </rPr>
      <t xml:space="preserve">6) From </t>
    </r>
    <r>
      <rPr>
        <sz val="14"/>
        <color rgb="FFFF0000"/>
        <rFont val="Calibri"/>
        <family val="2"/>
        <scheme val="minor"/>
      </rPr>
      <t>a map of the Philipine Islands, note the locations of the eight populations</t>
    </r>
  </si>
  <si>
    <r>
      <t xml:space="preserve">1) </t>
    </r>
    <r>
      <rPr>
        <b/>
        <sz val="14"/>
        <color theme="1"/>
        <rFont val="Calibri"/>
        <family val="2"/>
        <scheme val="minor"/>
      </rPr>
      <t>Pearson's Chi-Square</t>
    </r>
    <r>
      <rPr>
        <sz val="14"/>
        <color theme="1"/>
        <rFont val="Calibri"/>
        <family val="2"/>
        <scheme val="minor"/>
      </rPr>
      <t xml:space="preserve"> test calculates the probability of identity of two series of experimental data</t>
    </r>
  </si>
  <si>
    <t>[The spreadsheet can calculate up to 40 rows; additional lines are hidden]</t>
  </si>
  <si>
    <r>
      <rPr>
        <sz val="14"/>
        <color rgb="FFFF0000"/>
        <rFont val="Calibri"/>
        <family val="2"/>
        <scheme val="minor"/>
      </rPr>
      <t xml:space="preserve">For the four additional data sets, the  </t>
    </r>
    <r>
      <rPr>
        <i/>
        <sz val="14"/>
        <color rgb="FFFF0000"/>
        <rFont val="Calibri"/>
        <family val="2"/>
        <scheme val="minor"/>
      </rPr>
      <t>top</t>
    </r>
    <r>
      <rPr>
        <sz val="14"/>
        <color rgb="FFFF0000"/>
        <rFont val="Calibri"/>
        <family val="2"/>
        <scheme val="minor"/>
      </rPr>
      <t xml:space="preserve"> value of X has been transposed to the </t>
    </r>
    <r>
      <rPr>
        <b/>
        <i/>
        <sz val="14"/>
        <color rgb="FFFF0000"/>
        <rFont val="Calibri"/>
        <family val="2"/>
        <scheme val="minor"/>
      </rPr>
      <t>bottom</t>
    </r>
    <r>
      <rPr>
        <sz val="14"/>
        <color rgb="FFFF0000"/>
        <rFont val="Calibri"/>
        <family val="2"/>
        <scheme val="minor"/>
      </rPr>
      <t>: Does this affect p ?</t>
    </r>
  </si>
  <si>
    <r>
      <rPr>
        <sz val="14"/>
        <color rgb="FFFF0000"/>
        <rFont val="Calibri"/>
        <family val="2"/>
        <scheme val="minor"/>
      </rPr>
      <t xml:space="preserve">1) Compare Inuit from </t>
    </r>
    <r>
      <rPr>
        <b/>
        <sz val="14"/>
        <color rgb="FFFF0000"/>
        <rFont val="Calibri"/>
        <family val="2"/>
        <scheme val="minor"/>
      </rPr>
      <t xml:space="preserve">Alaska &amp; Greenland </t>
    </r>
  </si>
  <si>
    <r>
      <rPr>
        <sz val="14"/>
        <color rgb="FFFF0000"/>
        <rFont val="Calibri"/>
        <family val="2"/>
        <scheme val="minor"/>
      </rPr>
      <t xml:space="preserve">2) Compare </t>
    </r>
    <r>
      <rPr>
        <b/>
        <sz val="14"/>
        <color rgb="FFFF0000"/>
        <rFont val="Calibri"/>
        <family val="2"/>
        <scheme val="minor"/>
      </rPr>
      <t>Aka</t>
    </r>
    <r>
      <rPr>
        <sz val="14"/>
        <color rgb="FFFF0000"/>
        <rFont val="Calibri"/>
        <family val="2"/>
        <scheme val="minor"/>
      </rPr>
      <t xml:space="preserve"> </t>
    </r>
    <r>
      <rPr>
        <i/>
        <sz val="14"/>
        <color rgb="FFFF0000"/>
        <rFont val="Calibri"/>
        <family val="2"/>
        <scheme val="minor"/>
      </rPr>
      <t>observed</t>
    </r>
    <r>
      <rPr>
        <sz val="14"/>
        <color rgb="FFFF0000"/>
        <rFont val="Calibri"/>
        <family val="2"/>
        <scheme val="minor"/>
      </rPr>
      <t xml:space="preserve"> versus </t>
    </r>
    <r>
      <rPr>
        <i/>
        <sz val="14"/>
        <color rgb="FFFF0000"/>
        <rFont val="Calibri"/>
        <family val="2"/>
        <scheme val="minor"/>
      </rPr>
      <t>expected</t>
    </r>
  </si>
  <si>
    <t>df  = 3</t>
  </si>
  <si>
    <r>
      <t xml:space="preserve">because </t>
    </r>
    <r>
      <rPr>
        <b/>
        <sz val="14"/>
        <color rgb="FFFF0000"/>
        <rFont val="Calibri"/>
        <family val="2"/>
        <scheme val="minor"/>
      </rPr>
      <t>7.82</t>
    </r>
    <r>
      <rPr>
        <b/>
        <sz val="14"/>
        <color theme="1"/>
        <rFont val="Calibri"/>
        <family val="2"/>
        <scheme val="minor"/>
      </rPr>
      <t xml:space="preserve"> &lt; 8.00 &lt; </t>
    </r>
    <r>
      <rPr>
        <b/>
        <sz val="14"/>
        <color rgb="FFFF0000"/>
        <rFont val="Calibri"/>
        <family val="2"/>
        <scheme val="minor"/>
      </rPr>
      <t>9.35</t>
    </r>
  </si>
  <si>
    <r>
      <t xml:space="preserve">with </t>
    </r>
    <r>
      <rPr>
        <b/>
        <sz val="14"/>
        <color theme="1"/>
        <rFont val="Calibri"/>
        <family val="2"/>
        <scheme val="minor"/>
      </rPr>
      <t>df = 3</t>
    </r>
    <r>
      <rPr>
        <sz val="14"/>
        <color theme="1"/>
        <rFont val="Calibri"/>
        <family val="2"/>
        <scheme val="minor"/>
      </rPr>
      <t xml:space="preserve">,  </t>
    </r>
    <r>
      <rPr>
        <b/>
        <sz val="14"/>
        <color theme="1"/>
        <rFont val="Calibri"/>
        <family val="2"/>
        <scheme val="minor"/>
      </rPr>
      <t>X^2 = 8.0</t>
    </r>
    <r>
      <rPr>
        <sz val="14"/>
        <color theme="1"/>
        <rFont val="Calibri"/>
        <family val="2"/>
        <scheme val="minor"/>
      </rPr>
      <t xml:space="preserve"> can be reported as </t>
    </r>
    <r>
      <rPr>
        <b/>
        <sz val="14"/>
        <color theme="1"/>
        <rFont val="Calibri"/>
        <family val="2"/>
        <scheme val="minor"/>
      </rPr>
      <t>0.050 &gt; p &gt; 0.025</t>
    </r>
  </si>
  <si>
    <t>Critical values of Chi-Square Expanded</t>
  </si>
  <si>
    <t>What is the effect of larger sample sizes?</t>
  </si>
  <si>
    <r>
      <rPr>
        <b/>
        <sz val="14"/>
        <color rgb="FFFF0000"/>
        <rFont val="Calibri"/>
        <family val="2"/>
        <scheme val="minor"/>
      </rPr>
      <t>Record X^2, assess significance</t>
    </r>
    <r>
      <rPr>
        <sz val="14"/>
        <color theme="1"/>
        <rFont val="Calibri"/>
        <family val="2"/>
        <scheme val="minor"/>
      </rPr>
      <t>; repeat with smaller and larger sample sizes.</t>
    </r>
  </si>
  <si>
    <t>3) Compare the three pairwise combinations of Inuit &amp; Aka</t>
  </si>
  <si>
    <r>
      <t xml:space="preserve">1) </t>
    </r>
    <r>
      <rPr>
        <sz val="14"/>
        <color rgb="FFFF0000"/>
        <rFont val="Calibri"/>
        <family val="2"/>
        <scheme val="minor"/>
      </rPr>
      <t>Copy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MM MN NN</t>
    </r>
    <r>
      <rPr>
        <sz val="14"/>
        <color theme="1"/>
        <rFont val="Calibri"/>
        <family val="2"/>
        <scheme val="minor"/>
      </rPr>
      <t xml:space="preserve"> data from sample data</t>
    </r>
  </si>
  <si>
    <r>
      <t xml:space="preserve">2) </t>
    </r>
    <r>
      <rPr>
        <sz val="14"/>
        <color rgb="FFFF0000"/>
        <rFont val="Calibri"/>
        <family val="2"/>
        <scheme val="minor"/>
      </rPr>
      <t>Paste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row</t>
    </r>
    <r>
      <rPr>
        <sz val="14"/>
        <color theme="1"/>
        <rFont val="Calibri"/>
        <family val="2"/>
        <scheme val="minor"/>
      </rPr>
      <t xml:space="preserve"> of three into </t>
    </r>
    <r>
      <rPr>
        <i/>
        <sz val="14"/>
        <color theme="1"/>
        <rFont val="Calibri"/>
        <family val="2"/>
        <scheme val="minor"/>
      </rPr>
      <t>column</t>
    </r>
    <r>
      <rPr>
        <sz val="14"/>
        <color theme="1"/>
        <rFont val="Calibri"/>
        <family val="2"/>
        <scheme val="minor"/>
      </rPr>
      <t xml:space="preserve"> of three under '</t>
    </r>
    <r>
      <rPr>
        <b/>
        <sz val="14"/>
        <color theme="1"/>
        <rFont val="Calibri"/>
        <family val="2"/>
        <scheme val="minor"/>
      </rPr>
      <t>Count (obs)</t>
    </r>
    <r>
      <rPr>
        <sz val="14"/>
        <color theme="1"/>
        <rFont val="Calibri"/>
        <family val="2"/>
        <scheme val="minor"/>
      </rPr>
      <t>' in table</t>
    </r>
  </si>
  <si>
    <r>
      <t>3) In table at left, record '</t>
    </r>
    <r>
      <rPr>
        <b/>
        <sz val="14"/>
        <color theme="1"/>
        <rFont val="Calibri"/>
        <family val="2"/>
        <scheme val="minor"/>
      </rPr>
      <t>f(alleles)</t>
    </r>
    <r>
      <rPr>
        <sz val="14"/>
        <color theme="1"/>
        <rFont val="Calibri"/>
        <family val="2"/>
        <scheme val="minor"/>
      </rPr>
      <t xml:space="preserve">' for </t>
    </r>
    <r>
      <rPr>
        <b/>
        <sz val="14"/>
        <color theme="1"/>
        <rFont val="Calibri"/>
        <family val="2"/>
        <scheme val="minor"/>
      </rPr>
      <t>M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N</t>
    </r>
  </si>
  <si>
    <r>
      <t>Either copy &amp; paste values (remember to '</t>
    </r>
    <r>
      <rPr>
        <b/>
        <sz val="14"/>
        <color rgb="FFFF0000"/>
        <rFont val="Calibri"/>
        <family val="2"/>
        <scheme val="minor"/>
      </rPr>
      <t>Transpose</t>
    </r>
    <r>
      <rPr>
        <sz val="14"/>
        <color theme="1"/>
        <rFont val="Calibri"/>
        <family val="2"/>
        <scheme val="minor"/>
      </rPr>
      <t>'), or enter by hand</t>
    </r>
  </si>
  <si>
    <r>
      <t xml:space="preserve">Copy &amp; paste </t>
    </r>
    <r>
      <rPr>
        <b/>
        <sz val="14"/>
        <color theme="1"/>
        <rFont val="Calibri"/>
        <family val="2"/>
        <scheme val="minor"/>
      </rPr>
      <t>values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only</t>
    </r>
    <r>
      <rPr>
        <sz val="14"/>
        <color theme="1"/>
        <rFont val="Calibri"/>
        <family val="2"/>
        <scheme val="minor"/>
      </rPr>
      <t xml:space="preserve"> from table, OR record by hand</t>
    </r>
  </si>
  <si>
    <r>
      <rPr>
        <b/>
        <sz val="14"/>
        <color theme="1"/>
        <rFont val="Calibri"/>
        <family val="2"/>
        <scheme val="minor"/>
      </rPr>
      <t>Arcellana et al 2011 J Genet, 90: e90-e93</t>
    </r>
    <r>
      <rPr>
        <sz val="14"/>
        <color theme="1"/>
        <rFont val="Calibri"/>
        <family val="2"/>
        <scheme val="minor"/>
      </rPr>
      <t xml:space="preserve"> [corrected]</t>
    </r>
  </si>
  <si>
    <r>
      <t>Highlight '</t>
    </r>
    <r>
      <rPr>
        <b/>
        <sz val="14"/>
        <color rgb="FFFF0000"/>
        <rFont val="Calibri"/>
        <family val="2"/>
        <scheme val="minor"/>
      </rPr>
      <t>Count (obs)</t>
    </r>
    <r>
      <rPr>
        <sz val="14"/>
        <color rgb="FFFF0000"/>
        <rFont val="Calibri"/>
        <family val="2"/>
        <scheme val="minor"/>
      </rPr>
      <t>' column, choose '</t>
    </r>
    <r>
      <rPr>
        <b/>
        <sz val="14"/>
        <color rgb="FFFF0000"/>
        <rFont val="Calibri"/>
        <family val="2"/>
        <scheme val="minor"/>
      </rPr>
      <t>Paste specia</t>
    </r>
    <r>
      <rPr>
        <sz val="14"/>
        <color rgb="FFFF0000"/>
        <rFont val="Calibri"/>
        <family val="2"/>
        <scheme val="minor"/>
      </rPr>
      <t>l'</t>
    </r>
  </si>
  <si>
    <r>
      <t>Choose '</t>
    </r>
    <r>
      <rPr>
        <b/>
        <sz val="14"/>
        <color rgb="FFFF0000"/>
        <rFont val="Calibri"/>
        <family val="2"/>
        <scheme val="minor"/>
      </rPr>
      <t>Values</t>
    </r>
    <r>
      <rPr>
        <sz val="14"/>
        <color rgb="FFFF0000"/>
        <rFont val="Calibri"/>
        <family val="2"/>
        <scheme val="minor"/>
      </rPr>
      <t>' and '</t>
    </r>
    <r>
      <rPr>
        <b/>
        <sz val="14"/>
        <color rgb="FFFF0000"/>
        <rFont val="Calibri"/>
        <family val="2"/>
        <scheme val="minor"/>
      </rPr>
      <t>Transpose</t>
    </r>
    <r>
      <rPr>
        <sz val="14"/>
        <color rgb="FFFF0000"/>
        <rFont val="Calibri"/>
        <family val="2"/>
        <scheme val="minor"/>
      </rPr>
      <t xml:space="preserve">' </t>
    </r>
    <r>
      <rPr>
        <sz val="14"/>
        <rFont val="Calibri"/>
        <family val="2"/>
        <scheme val="minor"/>
      </rPr>
      <t>- this changes row to columns</t>
    </r>
  </si>
  <si>
    <r>
      <t xml:space="preserve">Copy </t>
    </r>
    <r>
      <rPr>
        <b/>
        <sz val="14"/>
        <color theme="1"/>
        <rFont val="Calibri"/>
        <family val="2"/>
        <scheme val="minor"/>
      </rPr>
      <t>Observed</t>
    </r>
    <r>
      <rPr>
        <sz val="14"/>
        <color theme="1"/>
        <rFont val="Calibri"/>
        <family val="2"/>
        <scheme val="minor"/>
      </rPr>
      <t xml:space="preserve"> data for </t>
    </r>
    <r>
      <rPr>
        <b/>
        <sz val="14"/>
        <color rgb="FF0070C0"/>
        <rFont val="Calibri"/>
        <family val="2"/>
        <scheme val="minor"/>
      </rPr>
      <t>Madeup2</t>
    </r>
    <r>
      <rPr>
        <sz val="14"/>
        <color theme="1"/>
        <rFont val="Calibri"/>
        <family val="2"/>
        <scheme val="minor"/>
      </rPr>
      <t xml:space="preserve"> in </t>
    </r>
    <r>
      <rPr>
        <b/>
        <sz val="14"/>
        <color theme="1"/>
        <rFont val="Calibri"/>
        <family val="2"/>
        <scheme val="minor"/>
      </rPr>
      <t>Type II</t>
    </r>
    <r>
      <rPr>
        <sz val="14"/>
        <color theme="1"/>
        <rFont val="Calibri"/>
        <family val="2"/>
        <scheme val="minor"/>
      </rPr>
      <t xml:space="preserve"> column</t>
    </r>
  </si>
  <si>
    <r>
      <t xml:space="preserve">Copy </t>
    </r>
    <r>
      <rPr>
        <b/>
        <sz val="14"/>
        <rFont val="Calibri"/>
        <family val="2"/>
        <scheme val="minor"/>
      </rPr>
      <t>Observed</t>
    </r>
    <r>
      <rPr>
        <sz val="14"/>
        <rFont val="Calibri"/>
        <family val="2"/>
        <scheme val="minor"/>
      </rPr>
      <t xml:space="preserve"> data for </t>
    </r>
    <r>
      <rPr>
        <b/>
        <sz val="14"/>
        <color rgb="FFFF0000"/>
        <rFont val="Calibri"/>
        <family val="2"/>
        <scheme val="minor"/>
      </rPr>
      <t>Madeup1</t>
    </r>
    <r>
      <rPr>
        <sz val="14"/>
        <rFont val="Calibri"/>
        <family val="2"/>
        <scheme val="minor"/>
      </rPr>
      <t xml:space="preserve"> in </t>
    </r>
    <r>
      <rPr>
        <b/>
        <sz val="14"/>
        <rFont val="Calibri"/>
        <family val="2"/>
        <scheme val="minor"/>
      </rPr>
      <t>Type I</t>
    </r>
    <r>
      <rPr>
        <sz val="14"/>
        <rFont val="Calibri"/>
        <family val="2"/>
        <scheme val="minor"/>
      </rPr>
      <t xml:space="preserve"> column</t>
    </r>
  </si>
  <si>
    <t>Madeup3</t>
  </si>
  <si>
    <r>
      <t>Choose '</t>
    </r>
    <r>
      <rPr>
        <b/>
        <sz val="14"/>
        <color rgb="FFFF0000"/>
        <rFont val="Calibri"/>
        <family val="2"/>
        <scheme val="minor"/>
      </rPr>
      <t>Values</t>
    </r>
    <r>
      <rPr>
        <sz val="14"/>
        <color rgb="FFFF0000"/>
        <rFont val="Calibri"/>
        <family val="2"/>
        <scheme val="minor"/>
      </rPr>
      <t>" and '</t>
    </r>
    <r>
      <rPr>
        <b/>
        <sz val="14"/>
        <color rgb="FFFF0000"/>
        <rFont val="Calibri"/>
        <family val="2"/>
        <scheme val="minor"/>
      </rPr>
      <t>Transpose</t>
    </r>
    <r>
      <rPr>
        <sz val="14"/>
        <color rgb="FFFF0000"/>
        <rFont val="Calibri"/>
        <family val="2"/>
        <scheme val="minor"/>
      </rPr>
      <t>' -</t>
    </r>
    <r>
      <rPr>
        <sz val="14"/>
        <rFont val="Calibri"/>
        <family val="2"/>
        <scheme val="minor"/>
      </rPr>
      <t xml:space="preserve"> this changes row to columns</t>
    </r>
  </si>
  <si>
    <r>
      <t xml:space="preserve">An appropriate transformation of </t>
    </r>
    <r>
      <rPr>
        <b/>
        <sz val="14"/>
        <color theme="1"/>
        <rFont val="Calibri"/>
        <family val="2"/>
        <scheme val="minor"/>
      </rPr>
      <t>pH</t>
    </r>
    <r>
      <rPr>
        <sz val="14"/>
        <color theme="1"/>
        <rFont val="Calibri"/>
        <family val="2"/>
        <scheme val="minor"/>
      </rPr>
      <t xml:space="preserve"> data is the </t>
    </r>
    <r>
      <rPr>
        <b/>
        <sz val="14"/>
        <color theme="1"/>
        <rFont val="Calibri"/>
        <family val="2"/>
        <scheme val="minor"/>
      </rPr>
      <t>anti-log10</t>
    </r>
    <r>
      <rPr>
        <sz val="14"/>
        <color theme="1"/>
        <rFont val="Calibri"/>
        <family val="2"/>
        <scheme val="minor"/>
      </rPr>
      <t>, so as to compare [</t>
    </r>
    <r>
      <rPr>
        <b/>
        <sz val="14"/>
        <color theme="1"/>
        <rFont val="Calibri"/>
        <family val="2"/>
        <scheme val="minor"/>
      </rPr>
      <t>H</t>
    </r>
    <r>
      <rPr>
        <sz val="14"/>
        <color theme="1"/>
        <rFont val="Calibri"/>
        <family val="2"/>
        <scheme val="minor"/>
      </rPr>
      <t>] directly</t>
    </r>
  </si>
  <si>
    <r>
      <rPr>
        <b/>
        <sz val="14"/>
        <color rgb="FFFF0000"/>
        <rFont val="Calibri"/>
        <family val="2"/>
        <scheme val="minor"/>
      </rPr>
      <t>For any two series of paired data, enter two series</t>
    </r>
    <r>
      <rPr>
        <sz val="14"/>
        <color theme="1"/>
        <rFont val="Calibri"/>
        <family val="2"/>
        <scheme val="minor"/>
      </rPr>
      <t xml:space="preserve"> to be compared in columns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II</t>
    </r>
  </si>
  <si>
    <r>
      <t>Copy &amp; Paste '</t>
    </r>
    <r>
      <rPr>
        <b/>
        <sz val="14"/>
        <color theme="1"/>
        <rFont val="Calibri"/>
        <family val="2"/>
        <scheme val="minor"/>
      </rPr>
      <t>Values</t>
    </r>
    <r>
      <rPr>
        <sz val="14"/>
        <color theme="1"/>
        <rFont val="Calibri"/>
        <family val="2"/>
        <scheme val="minor"/>
      </rPr>
      <t>'; '</t>
    </r>
    <r>
      <rPr>
        <b/>
        <sz val="14"/>
        <color theme="1"/>
        <rFont val="Calibri"/>
        <family val="2"/>
        <scheme val="minor"/>
      </rPr>
      <t>Transpose</t>
    </r>
    <r>
      <rPr>
        <sz val="14"/>
        <color theme="1"/>
        <rFont val="Calibri"/>
        <family val="2"/>
        <scheme val="minor"/>
      </rPr>
      <t>' row to column data as necessary (not necessary for data here)</t>
    </r>
  </si>
  <si>
    <r>
      <rPr>
        <b/>
        <i/>
        <sz val="14"/>
        <color theme="1"/>
        <rFont val="Comic Sans MS"/>
        <family val="4"/>
      </rPr>
      <t>X</t>
    </r>
    <r>
      <rPr>
        <b/>
        <sz val="14"/>
        <color theme="1"/>
        <rFont val="Calibri"/>
        <family val="2"/>
        <scheme val="minor"/>
      </rPr>
      <t>^2 =</t>
    </r>
  </si>
  <si>
    <t>M'1</t>
  </si>
  <si>
    <t>M'2</t>
  </si>
  <si>
    <t>M'3</t>
  </si>
  <si>
    <t>-</t>
  </si>
  <si>
    <r>
      <t xml:space="preserve">(1) </t>
    </r>
    <r>
      <rPr>
        <b/>
        <i/>
        <sz val="14"/>
        <color theme="1"/>
        <rFont val="Calibri"/>
        <family val="2"/>
        <scheme val="minor"/>
      </rPr>
      <t>Observed</t>
    </r>
    <r>
      <rPr>
        <sz val="14"/>
        <color theme="1"/>
        <rFont val="Calibri"/>
        <family val="2"/>
        <scheme val="minor"/>
      </rPr>
      <t xml:space="preserve"> vs </t>
    </r>
    <r>
      <rPr>
        <b/>
        <i/>
        <sz val="14"/>
        <color theme="1"/>
        <rFont val="Calibri"/>
        <family val="2"/>
        <scheme val="minor"/>
      </rPr>
      <t>Reconstructed</t>
    </r>
    <r>
      <rPr>
        <sz val="14"/>
        <color theme="1"/>
        <rFont val="Calibri"/>
        <family val="2"/>
        <scheme val="minor"/>
      </rPr>
      <t xml:space="preserve"> phenotype frequencies for a single population</t>
    </r>
  </si>
  <si>
    <r>
      <t xml:space="preserve">(2) </t>
    </r>
    <r>
      <rPr>
        <b/>
        <i/>
        <sz val="14"/>
        <color theme="1"/>
        <rFont val="Calibri"/>
        <family val="2"/>
        <scheme val="minor"/>
      </rPr>
      <t>Pairwise comparisons</t>
    </r>
    <r>
      <rPr>
        <sz val="14"/>
        <color theme="1"/>
        <rFont val="Calibri"/>
        <family val="2"/>
        <scheme val="minor"/>
      </rPr>
      <t xml:space="preserve"> of phenotypic differences between </t>
    </r>
    <r>
      <rPr>
        <b/>
        <i/>
        <sz val="14"/>
        <color theme="1"/>
        <rFont val="Calibri"/>
        <family val="2"/>
        <scheme val="minor"/>
      </rPr>
      <t>two</t>
    </r>
    <r>
      <rPr>
        <sz val="14"/>
        <color theme="1"/>
        <rFont val="Calibri"/>
        <family val="2"/>
        <scheme val="minor"/>
      </rPr>
      <t xml:space="preserve"> populations</t>
    </r>
  </si>
  <si>
    <r>
      <t xml:space="preserve">For </t>
    </r>
    <r>
      <rPr>
        <sz val="14"/>
        <color rgb="FFFF0000"/>
        <rFont val="Calibri"/>
        <family val="2"/>
        <scheme val="minor"/>
      </rPr>
      <t>Madeup1, 2, &amp; 3</t>
    </r>
    <r>
      <rPr>
        <sz val="14"/>
        <color theme="1"/>
        <rFont val="Calibri"/>
        <family val="2"/>
        <scheme val="minor"/>
      </rPr>
      <t xml:space="preserve">, copy </t>
    </r>
    <r>
      <rPr>
        <b/>
        <i/>
        <sz val="14"/>
        <color theme="1"/>
        <rFont val="Calibri"/>
        <family val="2"/>
        <scheme val="minor"/>
      </rPr>
      <t>Observed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A B AB O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row data</t>
    </r>
    <r>
      <rPr>
        <sz val="14"/>
        <color theme="1"/>
        <rFont val="Calibri"/>
        <family val="2"/>
        <scheme val="minor"/>
      </rPr>
      <t xml:space="preserve"> as </t>
    </r>
    <r>
      <rPr>
        <i/>
        <sz val="14"/>
        <color theme="1"/>
        <rFont val="Calibri"/>
        <family val="2"/>
        <scheme val="minor"/>
      </rPr>
      <t>column</t>
    </r>
    <r>
      <rPr>
        <sz val="14"/>
        <color theme="1"/>
        <rFont val="Calibri"/>
        <family val="2"/>
        <scheme val="minor"/>
      </rPr>
      <t xml:space="preserve"> data under</t>
    </r>
    <r>
      <rPr>
        <b/>
        <sz val="14"/>
        <color theme="1"/>
        <rFont val="Calibri"/>
        <family val="2"/>
        <scheme val="minor"/>
      </rPr>
      <t xml:space="preserve"> Type I</t>
    </r>
  </si>
  <si>
    <t>(2)</t>
  </si>
  <si>
    <t>(1)</t>
  </si>
  <si>
    <t>Fill in table with values from (1) &amp; (2)</t>
  </si>
  <si>
    <r>
      <t>Record</t>
    </r>
    <r>
      <rPr>
        <b/>
        <sz val="14"/>
        <color theme="1"/>
        <rFont val="Calibri"/>
        <family val="2"/>
        <scheme val="minor"/>
      </rPr>
      <t xml:space="preserve"> G-test</t>
    </r>
    <r>
      <rPr>
        <sz val="14"/>
        <color theme="1"/>
        <rFont val="Calibri"/>
        <family val="2"/>
        <scheme val="minor"/>
      </rPr>
      <t xml:space="preserve"> value, assess </t>
    </r>
    <r>
      <rPr>
        <b/>
        <sz val="14"/>
        <color theme="1"/>
        <rFont val="Calibri"/>
        <family val="2"/>
        <scheme val="minor"/>
      </rPr>
      <t>significance</t>
    </r>
    <r>
      <rPr>
        <sz val="14"/>
        <color theme="1"/>
        <rFont val="Calibri"/>
        <family val="2"/>
        <scheme val="minor"/>
      </rPr>
      <t xml:space="preserve"> with </t>
    </r>
    <r>
      <rPr>
        <b/>
        <sz val="14"/>
        <color theme="1"/>
        <rFont val="Calibri"/>
        <family val="2"/>
        <scheme val="minor"/>
      </rPr>
      <t>df = 3</t>
    </r>
    <r>
      <rPr>
        <sz val="14"/>
        <color theme="1"/>
        <rFont val="Calibri"/>
        <family val="2"/>
        <scheme val="minor"/>
      </rPr>
      <t xml:space="preserve">, with </t>
    </r>
    <r>
      <rPr>
        <b/>
        <sz val="14"/>
        <color theme="1"/>
        <rFont val="Calibri"/>
        <family val="2"/>
        <scheme val="minor"/>
      </rPr>
      <t>Chi-square critical values</t>
    </r>
  </si>
  <si>
    <t>Do the results conform to expectation?</t>
  </si>
  <si>
    <r>
      <t>X</t>
    </r>
    <r>
      <rPr>
        <b/>
        <i/>
        <sz val="14"/>
        <color theme="1"/>
        <rFont val="Calibri"/>
        <family val="2"/>
        <scheme val="minor"/>
      </rPr>
      <t>lnX</t>
    </r>
  </si>
  <si>
    <t>Choose (five) trans-continental pairs to explore the question:</t>
  </si>
  <si>
    <r>
      <t xml:space="preserve">The five pairs at left show the </t>
    </r>
    <r>
      <rPr>
        <b/>
        <sz val="14"/>
        <color theme="1"/>
        <rFont val="Calibri"/>
        <family val="2"/>
        <scheme val="minor"/>
      </rPr>
      <t>effect of increasing sample size</t>
    </r>
    <r>
      <rPr>
        <sz val="14"/>
        <color theme="1"/>
        <rFont val="Calibri"/>
        <family val="2"/>
        <scheme val="minor"/>
      </rPr>
      <t xml:space="preserve"> in 10-fold stages (df = 1)</t>
    </r>
  </si>
  <si>
    <r>
      <t>Compare</t>
    </r>
    <r>
      <rPr>
        <b/>
        <sz val="14"/>
        <color theme="1"/>
        <rFont val="Calibri"/>
        <family val="2"/>
        <scheme val="minor"/>
      </rPr>
      <t xml:space="preserve"> K </t>
    </r>
    <r>
      <rPr>
        <sz val="14"/>
        <color theme="1"/>
        <rFont val="Calibri"/>
        <family val="2"/>
        <scheme val="minor"/>
      </rPr>
      <t>vs</t>
    </r>
    <r>
      <rPr>
        <b/>
        <sz val="14"/>
        <color theme="1"/>
        <rFont val="Calibri"/>
        <family val="2"/>
        <scheme val="minor"/>
      </rPr>
      <t xml:space="preserve"> L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E</t>
    </r>
    <r>
      <rPr>
        <sz val="14"/>
        <color theme="1"/>
        <rFont val="Calibri"/>
        <family val="2"/>
        <scheme val="minor"/>
      </rPr>
      <t xml:space="preserve"> vs </t>
    </r>
    <r>
      <rPr>
        <b/>
        <sz val="14"/>
        <color theme="1"/>
        <rFont val="Calibri"/>
        <family val="2"/>
        <scheme val="minor"/>
      </rPr>
      <t>F</t>
    </r>
    <r>
      <rPr>
        <sz val="14"/>
        <color theme="1"/>
        <rFont val="Calibri"/>
        <family val="2"/>
        <scheme val="minor"/>
      </rPr>
      <t>: a comparison of 30%/70% percentages versus counts in a sample has a different outcome</t>
    </r>
  </si>
  <si>
    <r>
      <rPr>
        <b/>
        <i/>
        <sz val="12"/>
        <color theme="1"/>
        <rFont val="Comic Sans MS"/>
        <family val="4"/>
      </rPr>
      <t>X</t>
    </r>
    <r>
      <rPr>
        <b/>
        <sz val="12"/>
        <color theme="1"/>
        <rFont val="Calibri"/>
        <family val="2"/>
        <scheme val="minor"/>
      </rPr>
      <t>^2 =</t>
    </r>
  </si>
  <si>
    <t>Chi-Square test for phenotype proportions with MN data</t>
  </si>
  <si>
    <r>
      <t xml:space="preserve">4) </t>
    </r>
    <r>
      <rPr>
        <sz val="14"/>
        <color rgb="FFFF0000"/>
        <rFont val="Calibri"/>
        <family val="2"/>
        <scheme val="minor"/>
      </rPr>
      <t xml:space="preserve">Record </t>
    </r>
    <r>
      <rPr>
        <b/>
        <sz val="14"/>
        <color rgb="FFFF0000"/>
        <rFont val="Calibri"/>
        <family val="2"/>
        <scheme val="minor"/>
      </rPr>
      <t>Chi-Square value</t>
    </r>
    <r>
      <rPr>
        <sz val="14"/>
        <color theme="1"/>
        <rFont val="Calibri"/>
        <family val="2"/>
        <scheme val="minor"/>
      </rPr>
      <t xml:space="preserve">, determine </t>
    </r>
    <r>
      <rPr>
        <b/>
        <sz val="14"/>
        <color theme="1"/>
        <rFont val="Calibri"/>
        <family val="2"/>
        <scheme val="minor"/>
      </rPr>
      <t>Significance</t>
    </r>
    <r>
      <rPr>
        <sz val="14"/>
        <color theme="1"/>
        <rFont val="Calibri"/>
        <family val="2"/>
        <scheme val="minor"/>
      </rPr>
      <t xml:space="preserve"> from Table, note </t>
    </r>
    <r>
      <rPr>
        <b/>
        <sz val="14"/>
        <color theme="1"/>
        <rFont val="Calibri"/>
        <family val="2"/>
        <scheme val="minor"/>
      </rPr>
      <t># stars</t>
    </r>
  </si>
  <si>
    <r>
      <t xml:space="preserve">5) </t>
    </r>
    <r>
      <rPr>
        <sz val="14"/>
        <color rgb="FFFF0000"/>
        <rFont val="Calibri"/>
        <family val="2"/>
        <scheme val="minor"/>
      </rPr>
      <t>Record the</t>
    </r>
    <r>
      <rPr>
        <b/>
        <sz val="14"/>
        <color rgb="FFFF0000"/>
        <rFont val="Calibri"/>
        <family val="2"/>
        <scheme val="minor"/>
      </rPr>
      <t xml:space="preserve"> F-statistic</t>
    </r>
    <r>
      <rPr>
        <sz val="14"/>
        <color rgb="FFFF0000"/>
        <rFont val="Calibri"/>
        <family val="2"/>
        <scheme val="minor"/>
      </rPr>
      <t xml:space="preserve"> (</t>
    </r>
    <r>
      <rPr>
        <b/>
        <sz val="14"/>
        <color rgb="FFFF0000"/>
        <rFont val="Calibri"/>
        <family val="2"/>
        <scheme val="minor"/>
      </rPr>
      <t>F</t>
    </r>
    <r>
      <rPr>
        <sz val="14"/>
        <color rgb="FFFF0000"/>
        <rFont val="Calibri"/>
        <family val="2"/>
        <scheme val="minor"/>
      </rPr>
      <t>)</t>
    </r>
  </si>
  <si>
    <r>
      <t xml:space="preserve">Calculate pairwise </t>
    </r>
    <r>
      <rPr>
        <b/>
        <sz val="14"/>
        <color rgb="FFFF0000"/>
        <rFont val="Calibri"/>
        <family val="2"/>
        <scheme val="minor"/>
      </rPr>
      <t>G-Tests</t>
    </r>
    <r>
      <rPr>
        <sz val="14"/>
        <color rgb="FFFF0000"/>
        <rFont val="Calibri"/>
        <family val="2"/>
        <scheme val="minor"/>
      </rPr>
      <t xml:space="preserve"> (as at Right) from </t>
    </r>
    <r>
      <rPr>
        <b/>
        <sz val="14"/>
        <color rgb="FFFF0000"/>
        <rFont val="Calibri"/>
        <family val="2"/>
        <scheme val="minor"/>
      </rPr>
      <t>SIX</t>
    </r>
    <r>
      <rPr>
        <sz val="14"/>
        <color rgb="FFFF0000"/>
        <rFont val="Calibri"/>
        <family val="2"/>
        <scheme val="minor"/>
      </rPr>
      <t xml:space="preserve"> pairs of </t>
    </r>
    <r>
      <rPr>
        <b/>
        <sz val="14"/>
        <color rgb="FFFF0000"/>
        <rFont val="Calibri"/>
        <family val="2"/>
        <scheme val="minor"/>
      </rPr>
      <t>European</t>
    </r>
    <r>
      <rPr>
        <sz val="14"/>
        <color rgb="FFFF0000"/>
        <rFont val="Calibri"/>
        <family val="2"/>
        <scheme val="minor"/>
      </rPr>
      <t xml:space="preserve"> ethnogeographic groups, with </t>
    </r>
    <r>
      <rPr>
        <b/>
        <sz val="14"/>
        <color rgb="FFFF0000"/>
        <rFont val="Calibri"/>
        <family val="2"/>
        <scheme val="minor"/>
      </rPr>
      <t>N = 100</t>
    </r>
  </si>
  <si>
    <r>
      <t xml:space="preserve">For any results that are non-significant, </t>
    </r>
    <r>
      <rPr>
        <b/>
        <sz val="14"/>
        <color theme="1"/>
        <rFont val="Calibri"/>
        <family val="2"/>
        <scheme val="minor"/>
      </rPr>
      <t>repeat the pairwise tests with the larger sample sizes</t>
    </r>
  </si>
  <si>
    <t>Box 17.8, p. 753</t>
  </si>
  <si>
    <t>G =</t>
  </si>
  <si>
    <t>&lt;&lt;0.001</t>
  </si>
  <si>
    <r>
      <rPr>
        <b/>
        <i/>
        <sz val="14"/>
        <color rgb="FFFF0000"/>
        <rFont val="Calibri"/>
        <family val="2"/>
        <scheme val="minor"/>
      </rPr>
      <t>p</t>
    </r>
    <r>
      <rPr>
        <b/>
        <sz val="14"/>
        <color rgb="FFFF0000"/>
        <rFont val="Calibri"/>
        <family val="2"/>
        <scheme val="minor"/>
      </rPr>
      <t xml:space="preserve"> =</t>
    </r>
  </si>
  <si>
    <t>W</t>
  </si>
  <si>
    <r>
      <rPr>
        <b/>
        <sz val="14"/>
        <rFont val="Calibri"/>
        <family val="2"/>
        <scheme val="minor"/>
      </rPr>
      <t>Copy &amp; Paste</t>
    </r>
    <r>
      <rPr>
        <sz val="14"/>
        <rFont val="Calibri"/>
        <family val="2"/>
        <scheme val="minor"/>
      </rPr>
      <t xml:space="preserve"> the critical values for X^2 from the table</t>
    </r>
  </si>
  <si>
    <r>
      <rPr>
        <b/>
        <sz val="14"/>
        <color rgb="FFFF0000"/>
        <rFont val="Calibri"/>
        <family val="2"/>
        <scheme val="minor"/>
      </rPr>
      <t>Record X^2</t>
    </r>
    <r>
      <rPr>
        <sz val="14"/>
        <color rgb="FFFF0000"/>
        <rFont val="Calibri"/>
        <family val="2"/>
        <scheme val="minor"/>
      </rPr>
      <t xml:space="preserve"> &amp; </t>
    </r>
    <r>
      <rPr>
        <b/>
        <sz val="14"/>
        <color rgb="FFFF0000"/>
        <rFont val="Calibri"/>
        <family val="2"/>
        <scheme val="minor"/>
      </rPr>
      <t xml:space="preserve">assess probability for </t>
    </r>
    <r>
      <rPr>
        <b/>
        <sz val="14"/>
        <rFont val="Calibri"/>
        <family val="2"/>
        <scheme val="minor"/>
      </rPr>
      <t>df =(# rows - 1)</t>
    </r>
  </si>
  <si>
    <t>Country</t>
  </si>
  <si>
    <t>O+</t>
  </si>
  <si>
    <t>A+</t>
  </si>
  <si>
    <t>B+</t>
  </si>
  <si>
    <t>AB+</t>
  </si>
  <si>
    <t>O-</t>
  </si>
  <si>
    <t>A-</t>
  </si>
  <si>
    <t>B-</t>
  </si>
  <si>
    <t>AB-</t>
  </si>
  <si>
    <t>Rh Pos</t>
  </si>
  <si>
    <t>Rh Neg</t>
  </si>
  <si>
    <t>China</t>
  </si>
  <si>
    <t>North Korea</t>
  </si>
  <si>
    <t>Taiwan</t>
  </si>
  <si>
    <t>Bhutan</t>
  </si>
  <si>
    <t>Philippines</t>
  </si>
  <si>
    <t>South Korea</t>
  </si>
  <si>
    <t>Rh-</t>
  </si>
  <si>
    <t>Malaysia</t>
  </si>
  <si>
    <t>Rh+</t>
  </si>
  <si>
    <t>Japan</t>
  </si>
  <si>
    <t>Indonesia</t>
  </si>
  <si>
    <t>Thailand</t>
  </si>
  <si>
    <t>Laos</t>
  </si>
  <si>
    <t>Vietnam</t>
  </si>
  <si>
    <t>Hong Kong</t>
  </si>
  <si>
    <t>Nepal</t>
  </si>
  <si>
    <t>Myanmar</t>
  </si>
  <si>
    <t>Mongolia</t>
  </si>
  <si>
    <t>Singapore</t>
  </si>
  <si>
    <t>DR Congo</t>
  </si>
  <si>
    <t>Bangladesh</t>
  </si>
  <si>
    <t>Uganda</t>
  </si>
  <si>
    <t>Peru</t>
  </si>
  <si>
    <t>Gabon</t>
  </si>
  <si>
    <t>Fiji</t>
  </si>
  <si>
    <t>Papua New Guinea</t>
  </si>
  <si>
    <t>Zimbabwe</t>
  </si>
  <si>
    <t>Cambodia</t>
  </si>
  <si>
    <t>Nicaragua</t>
  </si>
  <si>
    <t>El Salvador</t>
  </si>
  <si>
    <t>Ecuador</t>
  </si>
  <si>
    <t>Cameroon</t>
  </si>
  <si>
    <t>Kenya</t>
  </si>
  <si>
    <t>Mauritius</t>
  </si>
  <si>
    <t>Guinea</t>
  </si>
  <si>
    <t>Mexico</t>
  </si>
  <si>
    <t>Sri Lanka</t>
  </si>
  <si>
    <t>Nigeria</t>
  </si>
  <si>
    <t>Honduras</t>
  </si>
  <si>
    <t>Uzbekistan</t>
  </si>
  <si>
    <t>Chile</t>
  </si>
  <si>
    <t>Mauritania</t>
  </si>
  <si>
    <t>India</t>
  </si>
  <si>
    <t>Bahrain</t>
  </si>
  <si>
    <t>Venezuela</t>
  </si>
  <si>
    <t>Sudan</t>
  </si>
  <si>
    <t>Costa Rica</t>
  </si>
  <si>
    <t>Ethiopia</t>
  </si>
  <si>
    <t>Jamaica</t>
  </si>
  <si>
    <t>Kazakhstan</t>
  </si>
  <si>
    <t>Ivory Coast</t>
  </si>
  <si>
    <t>Armenia</t>
  </si>
  <si>
    <t>Yemen</t>
  </si>
  <si>
    <t>Saudi Arabia</t>
  </si>
  <si>
    <t>Dominican Republic</t>
  </si>
  <si>
    <t>Ghana</t>
  </si>
  <si>
    <t>Cuba</t>
  </si>
  <si>
    <t>Namibia</t>
  </si>
  <si>
    <t>Burkina Faso</t>
  </si>
  <si>
    <t>Bolivia</t>
  </si>
  <si>
    <t>Egypt</t>
  </si>
  <si>
    <t>Cyprus</t>
  </si>
  <si>
    <t>United Arab Emirates</t>
  </si>
  <si>
    <t>Colombia</t>
  </si>
  <si>
    <t>Tunisia</t>
  </si>
  <si>
    <t>Argentina</t>
  </si>
  <si>
    <t>Syria</t>
  </si>
  <si>
    <t>Pakistan</t>
  </si>
  <si>
    <t>Morocco</t>
  </si>
  <si>
    <t>Paraguay</t>
  </si>
  <si>
    <t>Iraq</t>
  </si>
  <si>
    <t>Israel</t>
  </si>
  <si>
    <t>Azerbaijan</t>
  </si>
  <si>
    <t>Iran</t>
  </si>
  <si>
    <t>Algeria</t>
  </si>
  <si>
    <t>Malta</t>
  </si>
  <si>
    <t>Turkey</t>
  </si>
  <si>
    <t>Jordan</t>
  </si>
  <si>
    <t>Somalia</t>
  </si>
  <si>
    <t>Estonia</t>
  </si>
  <si>
    <t>Libya</t>
  </si>
  <si>
    <t>Ukraine</t>
  </si>
  <si>
    <t>Romania</t>
  </si>
  <si>
    <t>Finland</t>
  </si>
  <si>
    <t>South Africa</t>
  </si>
  <si>
    <t>Portugal</t>
  </si>
  <si>
    <t>Canada</t>
  </si>
  <si>
    <t>Georgia</t>
  </si>
  <si>
    <t>Albania</t>
  </si>
  <si>
    <t>Norway</t>
  </si>
  <si>
    <t>Belarus</t>
  </si>
  <si>
    <t>Poland</t>
  </si>
  <si>
    <t>North Macedonia</t>
  </si>
  <si>
    <t>Bulgaria</t>
  </si>
  <si>
    <t>Czech Republic</t>
  </si>
  <si>
    <t>Slovakia</t>
  </si>
  <si>
    <t>Iceland</t>
  </si>
  <si>
    <t>Italy</t>
  </si>
  <si>
    <t>Greece</t>
  </si>
  <si>
    <t>United States</t>
  </si>
  <si>
    <t>Belgium</t>
  </si>
  <si>
    <t>Germany</t>
  </si>
  <si>
    <t>Switzerland</t>
  </si>
  <si>
    <t>Liechtenstein</t>
  </si>
  <si>
    <t>Russia</t>
  </si>
  <si>
    <t>Croatia</t>
  </si>
  <si>
    <t>Bosnia and Herzegovina</t>
  </si>
  <si>
    <t>France</t>
  </si>
  <si>
    <t>Moldova</t>
  </si>
  <si>
    <t>Latvia</t>
  </si>
  <si>
    <t>Hungary</t>
  </si>
  <si>
    <t>Ireland</t>
  </si>
  <si>
    <t>Lithuania</t>
  </si>
  <si>
    <t>Denmark</t>
  </si>
  <si>
    <t>Sweden</t>
  </si>
  <si>
    <t>Serbia</t>
  </si>
  <si>
    <t>Austria</t>
  </si>
  <si>
    <t>Netherlands</t>
  </si>
  <si>
    <t>Lebanon</t>
  </si>
  <si>
    <t>Slovenia</t>
  </si>
  <si>
    <t>United Kingdom</t>
  </si>
  <si>
    <t>New Zealand</t>
  </si>
  <si>
    <t>Spain</t>
  </si>
  <si>
    <t>Australia</t>
  </si>
  <si>
    <t>Brazil</t>
  </si>
  <si>
    <r>
      <rPr>
        <b/>
        <sz val="12"/>
        <color theme="1"/>
        <rFont val="Calibri"/>
        <family val="2"/>
        <scheme val="minor"/>
      </rPr>
      <t>df =1</t>
    </r>
    <r>
      <rPr>
        <sz val="12"/>
        <color theme="1"/>
        <rFont val="Calibri"/>
        <family val="2"/>
        <scheme val="minor"/>
      </rPr>
      <t>, with  3 observed classes, less 2 estimated parameters: (3 - 2)(2-1) = 2. With thanks to Jim Rohlf.</t>
    </r>
  </si>
  <si>
    <t>g = (6)(sum values)(cols - 1)(row - 1)</t>
  </si>
  <si>
    <t>R x C G-Test of Independence (after Sokal &amp; Rohlf 2012)</t>
  </si>
  <si>
    <r>
      <rPr>
        <b/>
        <sz val="14"/>
        <color rgb="FFFF0000"/>
        <rFont val="Calibri"/>
        <family val="2"/>
        <scheme val="minor"/>
      </rPr>
      <t>For an RxC test of independence, enter any two of data series</t>
    </r>
    <r>
      <rPr>
        <sz val="14"/>
        <color theme="1"/>
        <rFont val="Calibri"/>
        <family val="2"/>
        <scheme val="minor"/>
      </rPr>
      <t xml:space="preserve"> in columns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II</t>
    </r>
  </si>
  <si>
    <r>
      <rPr>
        <b/>
        <sz val="14"/>
        <color theme="1"/>
        <rFont val="Calibri"/>
        <family val="2"/>
        <scheme val="minor"/>
      </rPr>
      <t>Chi-Square</t>
    </r>
    <r>
      <rPr>
        <sz val="14"/>
        <color theme="1"/>
        <rFont val="Calibri"/>
        <family val="2"/>
        <scheme val="minor"/>
      </rPr>
      <t xml:space="preserve"> can be reported as </t>
    </r>
    <r>
      <rPr>
        <b/>
        <sz val="14"/>
        <color theme="1"/>
        <rFont val="Calibri"/>
        <family val="2"/>
        <scheme val="minor"/>
      </rPr>
      <t>significant</t>
    </r>
    <r>
      <rPr>
        <sz val="14"/>
        <color theme="1"/>
        <rFont val="Calibri"/>
        <family val="2"/>
        <scheme val="minor"/>
      </rPr>
      <t xml:space="preserve"> at</t>
    </r>
    <r>
      <rPr>
        <b/>
        <sz val="14"/>
        <color theme="1"/>
        <rFont val="Calibri"/>
        <family val="2"/>
        <scheme val="minor"/>
      </rPr>
      <t xml:space="preserve"> 0.05, 0.01, or 0.001</t>
    </r>
  </si>
  <si>
    <t>p &lt;&lt;&lt; 0.001</t>
  </si>
  <si>
    <t>sd</t>
  </si>
  <si>
    <t>var</t>
  </si>
  <si>
    <r>
      <t>INSTRUCTIONS</t>
    </r>
    <r>
      <rPr>
        <b/>
        <sz val="12"/>
        <color theme="1"/>
        <rFont val="Calibri"/>
        <family val="2"/>
        <scheme val="minor"/>
      </rPr>
      <t xml:space="preserve"> for Chi-Square test of Independence</t>
    </r>
  </si>
  <si>
    <t>INSTRUCTIONS for G-Test of Independence</t>
  </si>
  <si>
    <r>
      <rPr>
        <sz val="14"/>
        <color rgb="FFFF0000"/>
        <rFont val="Calibri"/>
        <family val="2"/>
        <scheme val="minor"/>
      </rPr>
      <t>Copy &amp; Paste</t>
    </r>
    <r>
      <rPr>
        <sz val="14"/>
        <color theme="1"/>
        <rFont val="Calibri"/>
        <family val="2"/>
        <scheme val="minor"/>
      </rPr>
      <t xml:space="preserve"> or </t>
    </r>
    <r>
      <rPr>
        <sz val="14"/>
        <color rgb="FFFF0000"/>
        <rFont val="Calibri"/>
        <family val="2"/>
        <scheme val="minor"/>
      </rPr>
      <t>type</t>
    </r>
    <r>
      <rPr>
        <sz val="14"/>
        <color theme="1"/>
        <rFont val="Calibri"/>
        <family val="2"/>
        <scheme val="minor"/>
      </rPr>
      <t xml:space="preserve"> two equal  into columns</t>
    </r>
    <r>
      <rPr>
        <b/>
        <sz val="14"/>
        <color theme="1"/>
        <rFont val="Calibri"/>
        <family val="2"/>
        <scheme val="minor"/>
      </rPr>
      <t xml:space="preserve"> X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Y</t>
    </r>
  </si>
  <si>
    <r>
      <t xml:space="preserve">with </t>
    </r>
    <r>
      <rPr>
        <b/>
        <sz val="14"/>
        <color theme="1"/>
        <rFont val="Calibri"/>
        <family val="2"/>
        <scheme val="minor"/>
      </rPr>
      <t>df = 3</t>
    </r>
    <r>
      <rPr>
        <sz val="14"/>
        <color theme="1"/>
        <rFont val="Calibri"/>
        <family val="2"/>
        <scheme val="minor"/>
      </rPr>
      <t xml:space="preserve">,  </t>
    </r>
    <r>
      <rPr>
        <b/>
        <sz val="14"/>
        <color theme="1"/>
        <rFont val="Calibri"/>
        <family val="2"/>
        <scheme val="minor"/>
      </rPr>
      <t>X^2 = 8.0</t>
    </r>
    <r>
      <rPr>
        <sz val="14"/>
        <color theme="1"/>
        <rFont val="Calibri"/>
        <family val="2"/>
        <scheme val="minor"/>
      </rPr>
      <t xml:space="preserve"> can be reported as </t>
    </r>
    <r>
      <rPr>
        <b/>
        <sz val="14"/>
        <color theme="1"/>
        <rFont val="Calibri"/>
        <family val="2"/>
        <scheme val="minor"/>
      </rPr>
      <t>p &lt; 0.050</t>
    </r>
  </si>
  <si>
    <r>
      <t xml:space="preserve">OR as occuring in an </t>
    </r>
    <r>
      <rPr>
        <i/>
        <sz val="14"/>
        <color theme="1"/>
        <rFont val="Calibri"/>
        <family val="2"/>
        <scheme val="minor"/>
      </rPr>
      <t>interval</t>
    </r>
  </si>
  <si>
    <t>Use these data for additional G-Tests of ethno-geographic differences</t>
  </si>
  <si>
    <t>Reconstructed data out of 1,000</t>
  </si>
  <si>
    <r>
      <t xml:space="preserve">Copy &amp; Paste </t>
    </r>
    <r>
      <rPr>
        <b/>
        <sz val="11"/>
        <color theme="1"/>
        <rFont val="Calibri"/>
        <family val="2"/>
        <scheme val="minor"/>
      </rPr>
      <t>Cols G-R of Line 6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Cols G-R of Row for Group of interest</t>
    </r>
  </si>
  <si>
    <t>© 2025 by Steven M Carr: Not to be reproduced or redistributed without written permission, scarr [at] mun.ca</t>
  </si>
  <si>
    <t>ABO &amp; Rh blood types for ethno-geographic groups</t>
  </si>
  <si>
    <r>
      <t xml:space="preserve">A </t>
    </r>
    <r>
      <rPr>
        <b/>
        <sz val="14"/>
        <color theme="1"/>
        <rFont val="Calibri"/>
        <family val="2"/>
        <scheme val="minor"/>
      </rPr>
      <t>data transformation</t>
    </r>
    <r>
      <rPr>
        <sz val="14"/>
        <color theme="1"/>
        <rFont val="Calibri"/>
        <family val="2"/>
        <scheme val="minor"/>
      </rPr>
      <t xml:space="preserve"> alters the form of numerical data so that they conform to the assumptions of a statistical test</t>
    </r>
  </si>
  <si>
    <t>XY</t>
  </si>
  <si>
    <t>XZ</t>
  </si>
  <si>
    <t>WX</t>
  </si>
  <si>
    <t>WY</t>
  </si>
  <si>
    <t>WZ</t>
  </si>
  <si>
    <t>YZ</t>
  </si>
  <si>
    <r>
      <t>Copy &amp; Paste '</t>
    </r>
    <r>
      <rPr>
        <b/>
        <sz val="14"/>
        <color theme="1"/>
        <rFont val="Calibri"/>
        <family val="2"/>
        <scheme val="minor"/>
      </rPr>
      <t>Values</t>
    </r>
    <r>
      <rPr>
        <sz val="14"/>
        <color theme="1"/>
        <rFont val="Calibri"/>
        <family val="2"/>
        <scheme val="minor"/>
      </rPr>
      <t>'; if necessary, '</t>
    </r>
    <r>
      <rPr>
        <b/>
        <sz val="14"/>
        <color theme="1"/>
        <rFont val="Calibri"/>
        <family val="2"/>
        <scheme val="minor"/>
      </rPr>
      <t>Transpose</t>
    </r>
    <r>
      <rPr>
        <sz val="14"/>
        <color theme="1"/>
        <rFont val="Calibri"/>
        <family val="2"/>
        <scheme val="minor"/>
      </rPr>
      <t>' row to column data (not necessary for data here)</t>
    </r>
  </si>
  <si>
    <r>
      <t xml:space="preserve">The </t>
    </r>
    <r>
      <rPr>
        <b/>
        <sz val="14"/>
        <color theme="1"/>
        <rFont val="Calibri"/>
        <family val="2"/>
        <scheme val="minor"/>
      </rPr>
      <t>G-test</t>
    </r>
    <r>
      <rPr>
        <sz val="14"/>
        <color theme="1"/>
        <rFont val="Calibri"/>
        <family val="2"/>
        <scheme val="minor"/>
      </rPr>
      <t xml:space="preserve"> is an improved test of independence (like </t>
    </r>
    <r>
      <rPr>
        <b/>
        <sz val="14"/>
        <color theme="1"/>
        <rFont val="Calibri"/>
        <family val="2"/>
        <scheme val="minor"/>
      </rPr>
      <t>Chi-square</t>
    </r>
    <r>
      <rPr>
        <sz val="14"/>
        <color theme="1"/>
        <rFont val="Calibri"/>
        <family val="2"/>
        <scheme val="minor"/>
      </rPr>
      <t xml:space="preserve">) that uses a </t>
    </r>
    <r>
      <rPr>
        <b/>
        <sz val="14"/>
        <color theme="1"/>
        <rFont val="Calibri"/>
        <family val="2"/>
        <scheme val="minor"/>
      </rPr>
      <t>data transformation</t>
    </r>
  </si>
  <si>
    <r>
      <t xml:space="preserve">G-Test of RxC Independence </t>
    </r>
    <r>
      <rPr>
        <sz val="12"/>
        <color theme="1"/>
        <rFont val="Calibri"/>
        <family val="2"/>
        <scheme val="minor"/>
      </rPr>
      <t>(after Sokal &amp; Rohlf 2012, pp 753-754)</t>
    </r>
  </si>
  <si>
    <r>
      <t xml:space="preserve">Calculate for all </t>
    </r>
    <r>
      <rPr>
        <b/>
        <sz val="14"/>
        <color theme="1"/>
        <rFont val="Calibri"/>
        <family val="2"/>
        <scheme val="minor"/>
      </rPr>
      <t>pairwise</t>
    </r>
    <r>
      <rPr>
        <sz val="14"/>
        <color theme="1"/>
        <rFont val="Calibri"/>
        <family val="2"/>
        <scheme val="minor"/>
      </rPr>
      <t xml:space="preserve"> combinations of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column data</t>
    </r>
  </si>
  <si>
    <t xml:space="preserve">=  G/g =  G(adj) </t>
  </si>
  <si>
    <t>V</t>
  </si>
  <si>
    <r>
      <rPr>
        <b/>
        <sz val="14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= 2[Σcell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 - (Σrow f lnf) +  Σcolumn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 xml:space="preserve">f) + grand Σ f </t>
    </r>
    <r>
      <rPr>
        <i/>
        <sz val="14"/>
        <color theme="1"/>
        <rFont val="Calibri"/>
        <family val="2"/>
        <scheme val="minor"/>
      </rPr>
      <t>ln</t>
    </r>
    <r>
      <rPr>
        <sz val="14"/>
        <color theme="1"/>
        <rFont val="Calibri"/>
        <family val="2"/>
        <scheme val="minor"/>
      </rPr>
      <t>f)]</t>
    </r>
  </si>
  <si>
    <t>Cols F+G</t>
  </si>
  <si>
    <t>Col H</t>
  </si>
  <si>
    <t>D17</t>
  </si>
  <si>
    <t>B17 + C17</t>
  </si>
  <si>
    <t xml:space="preserve"> =  1 + R24*S14/T24</t>
  </si>
  <si>
    <t xml:space="preserve">William's Correction = </t>
  </si>
  <si>
    <t>W+1</t>
  </si>
  <si>
    <t>X+1</t>
  </si>
  <si>
    <t>Male</t>
  </si>
  <si>
    <t>Female</t>
  </si>
  <si>
    <t>Black</t>
  </si>
  <si>
    <t>Brown</t>
  </si>
  <si>
    <t>Blond</t>
  </si>
  <si>
    <t>Red</t>
  </si>
  <si>
    <r>
      <rPr>
        <b/>
        <sz val="14"/>
        <color rgb="FFFF0000"/>
        <rFont val="Calibri"/>
        <family val="2"/>
        <scheme val="minor"/>
      </rPr>
      <t>For any two series of paired counts, enter two series</t>
    </r>
    <r>
      <rPr>
        <sz val="14"/>
        <color theme="1"/>
        <rFont val="Calibri"/>
        <family val="2"/>
        <scheme val="minor"/>
      </rPr>
      <t xml:space="preserve"> to be compared in columns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II</t>
    </r>
  </si>
  <si>
    <r>
      <rPr>
        <b/>
        <sz val="14"/>
        <color rgb="FFFF0000"/>
        <rFont val="Calibri"/>
        <family val="2"/>
        <scheme val="minor"/>
      </rPr>
      <t>For any two series of count data, enter two series</t>
    </r>
    <r>
      <rPr>
        <sz val="14"/>
        <color theme="1"/>
        <rFont val="Calibri"/>
        <family val="2"/>
        <scheme val="minor"/>
      </rPr>
      <t xml:space="preserve"> to be compared in columns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&amp; </t>
    </r>
    <r>
      <rPr>
        <b/>
        <sz val="14"/>
        <color theme="1"/>
        <rFont val="Calibri"/>
        <family val="2"/>
        <scheme val="minor"/>
      </rPr>
      <t>II</t>
    </r>
  </si>
  <si>
    <t xml:space="preserve">G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</si>
</sst>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indexed="8"/>
      <name val="Calibri"/>
      <family val="2"/>
    </font>
    <font>
      <b/>
      <sz val="18"/>
      <color rgb="FF00B05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vertAlign val="subscript"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rgb="FF71717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b/>
      <sz val="18"/>
      <color rgb="FF717171"/>
      <name val="Source Sans Pro"/>
      <family val="2"/>
    </font>
    <font>
      <b/>
      <sz val="11"/>
      <name val="Source Sans Pro"/>
      <family val="2"/>
    </font>
    <font>
      <i/>
      <sz val="14"/>
      <name val="Calibri"/>
      <family val="2"/>
      <scheme val="minor"/>
    </font>
    <font>
      <sz val="12"/>
      <color rgb="FFFF0000"/>
      <name val="Calibri"/>
      <family val="2"/>
    </font>
    <font>
      <sz val="16"/>
      <color theme="1"/>
      <name val="Source Sans Pro"/>
      <family val="2"/>
    </font>
    <font>
      <b/>
      <sz val="11"/>
      <name val="Calibri"/>
      <family val="2"/>
      <scheme val="minor"/>
    </font>
    <font>
      <b/>
      <sz val="18"/>
      <color rgb="FF717171"/>
      <name val="Calibri"/>
      <family val="2"/>
      <scheme val="minor"/>
    </font>
    <font>
      <sz val="14"/>
      <color rgb="FF71717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ource Sans Pro"/>
      <family val="2"/>
    </font>
    <font>
      <b/>
      <sz val="14"/>
      <color rgb="FF00B050"/>
      <name val="Calibri"/>
      <family val="2"/>
      <scheme val="minor"/>
    </font>
    <font>
      <b/>
      <i/>
      <sz val="14"/>
      <color theme="1"/>
      <name val="Comic Sans MS"/>
      <family val="4"/>
    </font>
    <font>
      <b/>
      <sz val="14"/>
      <color theme="1"/>
      <name val="Calibri"/>
      <family val="4"/>
      <scheme val="minor"/>
    </font>
    <font>
      <b/>
      <sz val="12"/>
      <color theme="1"/>
      <name val="Calibri"/>
      <family val="4"/>
      <scheme val="minor"/>
    </font>
    <font>
      <b/>
      <i/>
      <sz val="12"/>
      <color theme="1"/>
      <name val="Comic Sans MS"/>
      <family val="4"/>
    </font>
    <font>
      <sz val="14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0"/>
      <name val="Calibri"/>
      <family val="2"/>
      <scheme val="minor"/>
    </font>
    <font>
      <sz val="14"/>
      <color rgb="FFFF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rgb="FF00B050"/>
      <name val="Calibri"/>
      <family val="2"/>
    </font>
    <font>
      <b/>
      <sz val="12"/>
      <color rgb="FF7030A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DC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19" fillId="0" borderId="0"/>
    <xf numFmtId="0" fontId="78" fillId="0" borderId="0" applyNumberFormat="0" applyFill="0" applyBorder="0" applyAlignment="0" applyProtection="0"/>
  </cellStyleXfs>
  <cellXfs count="636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0" xfId="0" applyFont="1"/>
    <xf numFmtId="2" fontId="3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3" fillId="0" borderId="9" xfId="0" applyFont="1" applyBorder="1"/>
    <xf numFmtId="0" fontId="3" fillId="0" borderId="8" xfId="0" applyFont="1" applyBorder="1"/>
    <xf numFmtId="0" fontId="2" fillId="0" borderId="11" xfId="0" applyFont="1" applyBorder="1"/>
    <xf numFmtId="0" fontId="3" fillId="0" borderId="12" xfId="0" applyFont="1" applyBorder="1"/>
    <xf numFmtId="164" fontId="3" fillId="0" borderId="0" xfId="0" applyNumberFormat="1" applyFont="1"/>
    <xf numFmtId="0" fontId="2" fillId="0" borderId="13" xfId="0" applyFont="1" applyBorder="1"/>
    <xf numFmtId="0" fontId="3" fillId="0" borderId="14" xfId="0" applyFont="1" applyBorder="1"/>
    <xf numFmtId="0" fontId="3" fillId="0" borderId="13" xfId="0" applyFont="1" applyBorder="1"/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165" fontId="8" fillId="0" borderId="0" xfId="0" applyNumberFormat="1" applyFont="1"/>
    <xf numFmtId="0" fontId="8" fillId="0" borderId="5" xfId="0" applyFont="1" applyBorder="1"/>
    <xf numFmtId="0" fontId="8" fillId="0" borderId="6" xfId="0" applyFont="1" applyBorder="1"/>
    <xf numFmtId="0" fontId="8" fillId="0" borderId="0" xfId="0" applyFont="1"/>
    <xf numFmtId="166" fontId="8" fillId="0" borderId="0" xfId="0" applyNumberFormat="1" applyFont="1"/>
    <xf numFmtId="0" fontId="2" fillId="4" borderId="0" xfId="0" applyFont="1" applyFill="1"/>
    <xf numFmtId="0" fontId="8" fillId="0" borderId="0" xfId="0" quotePrefix="1" applyFont="1"/>
    <xf numFmtId="0" fontId="1" fillId="0" borderId="0" xfId="0" applyFont="1" applyAlignment="1">
      <alignment horizontal="center" vertical="center"/>
    </xf>
    <xf numFmtId="2" fontId="8" fillId="0" borderId="0" xfId="0" applyNumberFormat="1" applyFont="1"/>
    <xf numFmtId="0" fontId="7" fillId="0" borderId="0" xfId="0" applyFont="1" applyAlignment="1">
      <alignment horizontal="right"/>
    </xf>
    <xf numFmtId="166" fontId="12" fillId="0" borderId="0" xfId="0" applyNumberFormat="1" applyFont="1"/>
    <xf numFmtId="2" fontId="0" fillId="0" borderId="0" xfId="0" applyNumberFormat="1"/>
    <xf numFmtId="167" fontId="8" fillId="0" borderId="0" xfId="0" applyNumberFormat="1" applyFont="1"/>
    <xf numFmtId="0" fontId="4" fillId="3" borderId="7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4" fillId="3" borderId="2" xfId="0" quotePrefix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3" fillId="4" borderId="0" xfId="0" applyFont="1" applyFill="1"/>
    <xf numFmtId="0" fontId="13" fillId="0" borderId="0" xfId="0" applyFont="1"/>
    <xf numFmtId="0" fontId="1" fillId="0" borderId="0" xfId="0" applyFont="1"/>
    <xf numFmtId="0" fontId="2" fillId="4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66" fontId="2" fillId="5" borderId="0" xfId="0" applyNumberFormat="1" applyFont="1" applyFill="1" applyAlignment="1">
      <alignment horizontal="right"/>
    </xf>
    <xf numFmtId="166" fontId="2" fillId="5" borderId="0" xfId="0" applyNumberFormat="1" applyFont="1" applyFill="1" applyAlignment="1">
      <alignment horizontal="right" vertical="center" wrapText="1"/>
    </xf>
    <xf numFmtId="166" fontId="2" fillId="7" borderId="0" xfId="0" applyNumberFormat="1" applyFont="1" applyFill="1" applyAlignment="1">
      <alignment horizontal="right"/>
    </xf>
    <xf numFmtId="166" fontId="2" fillId="7" borderId="0" xfId="0" applyNumberFormat="1" applyFont="1" applyFill="1" applyAlignment="1">
      <alignment horizontal="right" vertical="center" wrapText="1"/>
    </xf>
    <xf numFmtId="166" fontId="2" fillId="8" borderId="0" xfId="0" applyNumberFormat="1" applyFont="1" applyFill="1" applyAlignment="1">
      <alignment horizontal="right"/>
    </xf>
    <xf numFmtId="166" fontId="2" fillId="8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3" borderId="16" xfId="0" applyFont="1" applyFill="1" applyBorder="1"/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165" fontId="8" fillId="0" borderId="12" xfId="0" applyNumberFormat="1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2" xfId="0" applyFont="1" applyBorder="1"/>
    <xf numFmtId="0" fontId="4" fillId="0" borderId="11" xfId="0" applyFont="1" applyBorder="1"/>
    <xf numFmtId="166" fontId="8" fillId="0" borderId="12" xfId="0" applyNumberFormat="1" applyFont="1" applyBorder="1"/>
    <xf numFmtId="0" fontId="0" fillId="0" borderId="12" xfId="0" applyBorder="1"/>
    <xf numFmtId="0" fontId="5" fillId="0" borderId="13" xfId="0" applyFont="1" applyBorder="1" applyAlignment="1">
      <alignment horizontal="right"/>
    </xf>
    <xf numFmtId="0" fontId="4" fillId="0" borderId="15" xfId="0" applyFont="1" applyBorder="1"/>
    <xf numFmtId="0" fontId="0" fillId="0" borderId="14" xfId="0" applyBorder="1"/>
    <xf numFmtId="0" fontId="0" fillId="0" borderId="11" xfId="0" applyBorder="1"/>
    <xf numFmtId="0" fontId="7" fillId="0" borderId="13" xfId="0" applyFont="1" applyBorder="1" applyAlignment="1">
      <alignment horizontal="right"/>
    </xf>
    <xf numFmtId="0" fontId="8" fillId="3" borderId="12" xfId="0" applyFont="1" applyFill="1" applyBorder="1"/>
    <xf numFmtId="0" fontId="0" fillId="0" borderId="8" xfId="0" applyBorder="1"/>
    <xf numFmtId="0" fontId="8" fillId="0" borderId="14" xfId="0" applyFont="1" applyBorder="1"/>
    <xf numFmtId="0" fontId="8" fillId="0" borderId="10" xfId="0" applyFont="1" applyBorder="1"/>
    <xf numFmtId="2" fontId="12" fillId="0" borderId="0" xfId="0" applyNumberFormat="1" applyFont="1"/>
    <xf numFmtId="0" fontId="2" fillId="0" borderId="11" xfId="0" applyFont="1" applyBorder="1" applyAlignment="1">
      <alignment vertical="center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8" fillId="0" borderId="0" xfId="0" applyNumberFormat="1" applyFont="1"/>
    <xf numFmtId="0" fontId="8" fillId="0" borderId="0" xfId="0" applyFont="1" applyAlignment="1">
      <alignment horizontal="right"/>
    </xf>
    <xf numFmtId="166" fontId="23" fillId="0" borderId="0" xfId="0" quotePrefix="1" applyNumberFormat="1" applyFont="1" applyAlignment="1">
      <alignment horizontal="right"/>
    </xf>
    <xf numFmtId="0" fontId="2" fillId="3" borderId="15" xfId="0" applyFont="1" applyFill="1" applyBorder="1" applyAlignment="1">
      <alignment horizontal="right"/>
    </xf>
    <xf numFmtId="166" fontId="24" fillId="0" borderId="0" xfId="0" applyNumberFormat="1" applyFont="1"/>
    <xf numFmtId="0" fontId="24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/>
    <xf numFmtId="166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166" fontId="27" fillId="0" borderId="0" xfId="0" quotePrefix="1" applyNumberFormat="1" applyFont="1" applyAlignment="1">
      <alignment horizontal="right"/>
    </xf>
    <xf numFmtId="1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166" fontId="28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3" borderId="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right"/>
    </xf>
    <xf numFmtId="166" fontId="19" fillId="0" borderId="0" xfId="0" applyNumberFormat="1" applyFont="1"/>
    <xf numFmtId="0" fontId="12" fillId="0" borderId="0" xfId="0" quotePrefix="1" applyFont="1"/>
    <xf numFmtId="0" fontId="11" fillId="0" borderId="0" xfId="0" applyFont="1"/>
    <xf numFmtId="0" fontId="31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4" fillId="0" borderId="8" xfId="0" applyFont="1" applyBorder="1"/>
    <xf numFmtId="0" fontId="4" fillId="3" borderId="1" xfId="0" applyFont="1" applyFill="1" applyBorder="1"/>
    <xf numFmtId="0" fontId="4" fillId="3" borderId="7" xfId="0" applyFont="1" applyFill="1" applyBorder="1"/>
    <xf numFmtId="0" fontId="4" fillId="3" borderId="2" xfId="0" applyFont="1" applyFill="1" applyBorder="1"/>
    <xf numFmtId="0" fontId="5" fillId="7" borderId="0" xfId="0" applyFont="1" applyFill="1" applyAlignment="1">
      <alignment horizontal="right" vertical="center" wrapText="1"/>
    </xf>
    <xf numFmtId="166" fontId="5" fillId="7" borderId="0" xfId="0" applyNumberFormat="1" applyFont="1" applyFill="1" applyAlignment="1">
      <alignment horizontal="right"/>
    </xf>
    <xf numFmtId="166" fontId="5" fillId="7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" fontId="6" fillId="0" borderId="0" xfId="0" applyNumberFormat="1" applyFont="1" applyAlignment="1">
      <alignment horizontal="right"/>
    </xf>
    <xf numFmtId="2" fontId="2" fillId="2" borderId="0" xfId="0" applyNumberFormat="1" applyFont="1" applyFill="1" applyAlignment="1">
      <alignment horizontal="right" vertical="center" wrapText="1"/>
    </xf>
    <xf numFmtId="0" fontId="7" fillId="0" borderId="12" xfId="0" applyFont="1" applyBorder="1"/>
    <xf numFmtId="0" fontId="32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right" vertical="center" wrapText="1"/>
    </xf>
    <xf numFmtId="9" fontId="4" fillId="3" borderId="10" xfId="0" applyNumberFormat="1" applyFont="1" applyFill="1" applyBorder="1" applyAlignment="1">
      <alignment horizontal="right" vertical="center" wrapText="1"/>
    </xf>
    <xf numFmtId="9" fontId="4" fillId="3" borderId="9" xfId="0" applyNumberFormat="1" applyFont="1" applyFill="1" applyBorder="1" applyAlignment="1">
      <alignment horizontal="right" vertical="center" wrapText="1"/>
    </xf>
    <xf numFmtId="0" fontId="4" fillId="10" borderId="15" xfId="0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10" borderId="13" xfId="0" applyFont="1" applyFill="1" applyBorder="1" applyAlignment="1">
      <alignment horizontal="right" vertical="center" wrapText="1"/>
    </xf>
    <xf numFmtId="0" fontId="19" fillId="0" borderId="0" xfId="0" applyFont="1"/>
    <xf numFmtId="2" fontId="8" fillId="0" borderId="0" xfId="0" applyNumberFormat="1" applyFont="1" applyAlignment="1">
      <alignment vertical="center" wrapText="1"/>
    </xf>
    <xf numFmtId="2" fontId="8" fillId="3" borderId="0" xfId="0" applyNumberFormat="1" applyFont="1" applyFill="1" applyAlignment="1">
      <alignment vertical="center" wrapText="1"/>
    </xf>
    <xf numFmtId="2" fontId="8" fillId="3" borderId="12" xfId="0" applyNumberFormat="1" applyFont="1" applyFill="1" applyBorder="1" applyAlignment="1">
      <alignment vertical="center" wrapText="1"/>
    </xf>
    <xf numFmtId="2" fontId="8" fillId="0" borderId="15" xfId="0" applyNumberFormat="1" applyFont="1" applyBorder="1" applyAlignment="1">
      <alignment vertical="center" wrapText="1"/>
    </xf>
    <xf numFmtId="2" fontId="8" fillId="3" borderId="15" xfId="0" applyNumberFormat="1" applyFont="1" applyFill="1" applyBorder="1" applyAlignment="1">
      <alignment vertical="center" wrapText="1"/>
    </xf>
    <xf numFmtId="2" fontId="8" fillId="3" borderId="14" xfId="0" applyNumberFormat="1" applyFont="1" applyFill="1" applyBorder="1" applyAlignment="1">
      <alignment vertical="center" wrapText="1"/>
    </xf>
    <xf numFmtId="2" fontId="8" fillId="0" borderId="10" xfId="0" applyNumberFormat="1" applyFont="1" applyBorder="1" applyAlignment="1">
      <alignment vertical="center" wrapText="1"/>
    </xf>
    <xf numFmtId="2" fontId="8" fillId="3" borderId="10" xfId="0" applyNumberFormat="1" applyFont="1" applyFill="1" applyBorder="1" applyAlignment="1">
      <alignment vertical="center" wrapText="1"/>
    </xf>
    <xf numFmtId="2" fontId="8" fillId="3" borderId="9" xfId="0" applyNumberFormat="1" applyFont="1" applyFill="1" applyBorder="1" applyAlignment="1">
      <alignment vertical="center" wrapText="1"/>
    </xf>
    <xf numFmtId="0" fontId="7" fillId="0" borderId="11" xfId="0" applyFont="1" applyBorder="1" applyAlignment="1">
      <alignment horizontal="right"/>
    </xf>
    <xf numFmtId="0" fontId="6" fillId="0" borderId="0" xfId="0" applyFont="1"/>
    <xf numFmtId="0" fontId="20" fillId="0" borderId="2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18" fillId="0" borderId="0" xfId="0" applyNumberFormat="1" applyFont="1"/>
    <xf numFmtId="166" fontId="30" fillId="0" borderId="0" xfId="0" applyNumberFormat="1" applyFont="1"/>
    <xf numFmtId="0" fontId="7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9" fillId="13" borderId="1" xfId="0" applyFont="1" applyFill="1" applyBorder="1" applyAlignment="1">
      <alignment horizontal="right"/>
    </xf>
    <xf numFmtId="0" fontId="4" fillId="13" borderId="7" xfId="0" applyFont="1" applyFill="1" applyBorder="1" applyAlignment="1">
      <alignment horizontal="right"/>
    </xf>
    <xf numFmtId="0" fontId="9" fillId="13" borderId="7" xfId="0" applyFont="1" applyFill="1" applyBorder="1" applyAlignment="1">
      <alignment horizontal="right"/>
    </xf>
    <xf numFmtId="0" fontId="4" fillId="13" borderId="2" xfId="0" quotePrefix="1" applyFont="1" applyFill="1" applyBorder="1" applyAlignment="1">
      <alignment horizontal="right"/>
    </xf>
    <xf numFmtId="166" fontId="18" fillId="0" borderId="0" xfId="0" applyNumberFormat="1" applyFont="1"/>
    <xf numFmtId="0" fontId="30" fillId="0" borderId="3" xfId="0" applyFont="1" applyBorder="1"/>
    <xf numFmtId="0" fontId="30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30" fillId="0" borderId="9" xfId="0" applyFont="1" applyBorder="1"/>
    <xf numFmtId="0" fontId="30" fillId="0" borderId="12" xfId="0" applyFont="1" applyBorder="1"/>
    <xf numFmtId="0" fontId="18" fillId="0" borderId="9" xfId="0" applyFont="1" applyBorder="1"/>
    <xf numFmtId="0" fontId="17" fillId="2" borderId="0" xfId="0" applyFont="1" applyFill="1" applyAlignment="1">
      <alignment vertical="center"/>
    </xf>
    <xf numFmtId="0" fontId="17" fillId="4" borderId="0" xfId="0" applyFont="1" applyFill="1"/>
    <xf numFmtId="0" fontId="34" fillId="0" borderId="0" xfId="0" applyFont="1"/>
    <xf numFmtId="0" fontId="15" fillId="6" borderId="0" xfId="0" applyFont="1" applyFill="1" applyAlignment="1">
      <alignment horizontal="right" vertical="center" wrapText="1"/>
    </xf>
    <xf numFmtId="0" fontId="35" fillId="6" borderId="0" xfId="0" applyFont="1" applyFill="1" applyAlignment="1">
      <alignment horizontal="center"/>
    </xf>
    <xf numFmtId="0" fontId="34" fillId="9" borderId="0" xfId="0" applyFont="1" applyFill="1"/>
    <xf numFmtId="0" fontId="29" fillId="9" borderId="0" xfId="0" applyFont="1" applyFill="1" applyAlignment="1">
      <alignment horizontal="right" vertical="center" wrapText="1"/>
    </xf>
    <xf numFmtId="0" fontId="36" fillId="0" borderId="0" xfId="0" applyFont="1"/>
    <xf numFmtId="0" fontId="0" fillId="0" borderId="13" xfId="0" applyBorder="1"/>
    <xf numFmtId="0" fontId="1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/>
    <xf numFmtId="1" fontId="11" fillId="0" borderId="0" xfId="0" applyNumberFormat="1" applyFont="1"/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2" fillId="15" borderId="0" xfId="0" applyFont="1" applyFill="1"/>
    <xf numFmtId="0" fontId="2" fillId="15" borderId="0" xfId="0" applyFont="1" applyFill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65" fontId="3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165" fontId="3" fillId="3" borderId="0" xfId="0" applyNumberFormat="1" applyFont="1" applyFill="1"/>
    <xf numFmtId="0" fontId="19" fillId="0" borderId="0" xfId="0" applyFont="1" applyAlignment="1">
      <alignment vertical="center"/>
    </xf>
    <xf numFmtId="0" fontId="4" fillId="0" borderId="13" xfId="0" applyFont="1" applyBorder="1"/>
    <xf numFmtId="0" fontId="11" fillId="0" borderId="0" xfId="0" applyFont="1" applyAlignment="1">
      <alignment horizontal="right"/>
    </xf>
    <xf numFmtId="0" fontId="38" fillId="0" borderId="0" xfId="0" applyFont="1"/>
    <xf numFmtId="0" fontId="17" fillId="14" borderId="0" xfId="0" applyFont="1" applyFill="1" applyAlignment="1">
      <alignment horizontal="right"/>
    </xf>
    <xf numFmtId="0" fontId="4" fillId="14" borderId="0" xfId="0" applyFont="1" applyFill="1" applyAlignment="1">
      <alignment horizontal="right"/>
    </xf>
    <xf numFmtId="0" fontId="5" fillId="16" borderId="0" xfId="0" applyFont="1" applyFill="1" applyAlignment="1">
      <alignment horizontal="right" vertical="center" wrapText="1"/>
    </xf>
    <xf numFmtId="166" fontId="5" fillId="16" borderId="0" xfId="0" applyNumberFormat="1" applyFont="1" applyFill="1" applyAlignment="1">
      <alignment horizontal="right"/>
    </xf>
    <xf numFmtId="166" fontId="5" fillId="16" borderId="0" xfId="0" applyNumberFormat="1" applyFont="1" applyFill="1" applyAlignment="1">
      <alignment horizontal="right" vertical="center" wrapText="1"/>
    </xf>
    <xf numFmtId="165" fontId="19" fillId="0" borderId="0" xfId="0" applyNumberFormat="1" applyFont="1" applyAlignment="1">
      <alignment horizontal="right"/>
    </xf>
    <xf numFmtId="165" fontId="19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7" fillId="0" borderId="0" xfId="0" applyFont="1" applyAlignment="1">
      <alignment horizontal="right"/>
    </xf>
    <xf numFmtId="1" fontId="19" fillId="0" borderId="0" xfId="0" applyNumberFormat="1" applyFont="1"/>
    <xf numFmtId="165" fontId="19" fillId="0" borderId="8" xfId="0" applyNumberFormat="1" applyFont="1" applyBorder="1" applyAlignment="1">
      <alignment horizontal="right"/>
    </xf>
    <xf numFmtId="165" fontId="19" fillId="0" borderId="9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0" fontId="0" fillId="3" borderId="10" xfId="0" applyFill="1" applyBorder="1"/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/>
    </xf>
    <xf numFmtId="0" fontId="19" fillId="3" borderId="0" xfId="0" applyFont="1" applyFill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44" fillId="0" borderId="0" xfId="0" applyFont="1" applyAlignment="1">
      <alignment horizontal="right" vertical="center"/>
    </xf>
    <xf numFmtId="166" fontId="44" fillId="0" borderId="0" xfId="0" applyNumberFormat="1" applyFont="1" applyAlignment="1">
      <alignment vertical="center"/>
    </xf>
    <xf numFmtId="0" fontId="19" fillId="0" borderId="8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66" fontId="19" fillId="10" borderId="8" xfId="0" applyNumberFormat="1" applyFont="1" applyFill="1" applyBorder="1" applyAlignment="1">
      <alignment vertical="center"/>
    </xf>
    <xf numFmtId="166" fontId="19" fillId="10" borderId="10" xfId="0" applyNumberFormat="1" applyFont="1" applyFill="1" applyBorder="1" applyAlignment="1">
      <alignment vertical="center"/>
    </xf>
    <xf numFmtId="166" fontId="19" fillId="10" borderId="9" xfId="0" applyNumberFormat="1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166" fontId="19" fillId="10" borderId="13" xfId="0" applyNumberFormat="1" applyFont="1" applyFill="1" applyBorder="1" applyAlignment="1">
      <alignment vertical="center"/>
    </xf>
    <xf numFmtId="166" fontId="19" fillId="10" borderId="15" xfId="0" applyNumberFormat="1" applyFont="1" applyFill="1" applyBorder="1" applyAlignment="1">
      <alignment vertical="center"/>
    </xf>
    <xf numFmtId="166" fontId="19" fillId="10" borderId="14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165" fontId="38" fillId="0" borderId="0" xfId="0" applyNumberFormat="1" applyFont="1"/>
    <xf numFmtId="165" fontId="19" fillId="0" borderId="8" xfId="0" applyNumberFormat="1" applyFont="1" applyBorder="1" applyAlignment="1">
      <alignment vertical="center"/>
    </xf>
    <xf numFmtId="165" fontId="19" fillId="0" borderId="9" xfId="0" applyNumberFormat="1" applyFont="1" applyBorder="1"/>
    <xf numFmtId="1" fontId="19" fillId="0" borderId="0" xfId="0" applyNumberFormat="1" applyFont="1" applyAlignment="1">
      <alignment horizontal="right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164" fontId="19" fillId="0" borderId="0" xfId="0" applyNumberFormat="1" applyFont="1"/>
    <xf numFmtId="0" fontId="19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2" fontId="19" fillId="0" borderId="0" xfId="0" applyNumberFormat="1" applyFont="1"/>
    <xf numFmtId="0" fontId="19" fillId="0" borderId="0" xfId="0" applyFont="1" applyAlignment="1">
      <alignment vertical="center" wrapText="1"/>
    </xf>
    <xf numFmtId="0" fontId="19" fillId="3" borderId="0" xfId="0" applyFont="1" applyFill="1" applyAlignment="1">
      <alignment horizontal="left"/>
    </xf>
    <xf numFmtId="2" fontId="19" fillId="3" borderId="0" xfId="0" applyNumberFormat="1" applyFont="1" applyFill="1"/>
    <xf numFmtId="2" fontId="13" fillId="0" borderId="0" xfId="0" applyNumberFormat="1" applyFont="1"/>
    <xf numFmtId="166" fontId="13" fillId="0" borderId="0" xfId="0" applyNumberFormat="1" applyFont="1"/>
    <xf numFmtId="0" fontId="8" fillId="2" borderId="0" xfId="0" applyFont="1" applyFill="1"/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right" wrapText="1"/>
    </xf>
    <xf numFmtId="0" fontId="0" fillId="0" borderId="10" xfId="0" applyBorder="1" applyAlignment="1">
      <alignment horizontal="right" vertical="center" wrapText="1"/>
    </xf>
    <xf numFmtId="0" fontId="0" fillId="0" borderId="15" xfId="0" applyBorder="1" applyAlignment="1">
      <alignment horizontal="right" vertical="center"/>
    </xf>
    <xf numFmtId="166" fontId="38" fillId="0" borderId="0" xfId="0" applyNumberFormat="1" applyFont="1"/>
    <xf numFmtId="0" fontId="7" fillId="0" borderId="7" xfId="0" applyFont="1" applyBorder="1" applyAlignment="1">
      <alignment horizontal="right"/>
    </xf>
    <xf numFmtId="164" fontId="19" fillId="0" borderId="10" xfId="0" applyNumberFormat="1" applyFont="1" applyBorder="1"/>
    <xf numFmtId="164" fontId="19" fillId="0" borderId="15" xfId="0" applyNumberFormat="1" applyFont="1" applyBorder="1"/>
    <xf numFmtId="0" fontId="20" fillId="0" borderId="8" xfId="0" applyFont="1" applyBorder="1"/>
    <xf numFmtId="0" fontId="20" fillId="0" borderId="11" xfId="0" applyFont="1" applyBorder="1"/>
    <xf numFmtId="166" fontId="50" fillId="0" borderId="20" xfId="0" applyNumberFormat="1" applyFont="1" applyBorder="1" applyAlignment="1">
      <alignment horizontal="right" vertical="center" wrapText="1"/>
    </xf>
    <xf numFmtId="0" fontId="51" fillId="0" borderId="20" xfId="0" applyFont="1" applyBorder="1" applyAlignment="1">
      <alignment horizontal="center" vertical="center" wrapText="1"/>
    </xf>
    <xf numFmtId="0" fontId="4" fillId="2" borderId="0" xfId="0" applyFont="1" applyFill="1"/>
    <xf numFmtId="0" fontId="51" fillId="4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5" fontId="13" fillId="0" borderId="0" xfId="0" applyNumberFormat="1" applyFont="1"/>
    <xf numFmtId="1" fontId="38" fillId="0" borderId="0" xfId="0" applyNumberFormat="1" applyFont="1"/>
    <xf numFmtId="2" fontId="19" fillId="0" borderId="15" xfId="0" applyNumberFormat="1" applyFont="1" applyBorder="1"/>
    <xf numFmtId="0" fontId="12" fillId="0" borderId="8" xfId="0" applyFont="1" applyBorder="1"/>
    <xf numFmtId="0" fontId="12" fillId="0" borderId="11" xfId="0" applyFont="1" applyBorder="1"/>
    <xf numFmtId="2" fontId="19" fillId="0" borderId="10" xfId="0" applyNumberFormat="1" applyFont="1" applyBorder="1"/>
    <xf numFmtId="2" fontId="19" fillId="0" borderId="12" xfId="0" applyNumberFormat="1" applyFont="1" applyBorder="1"/>
    <xf numFmtId="2" fontId="19" fillId="0" borderId="14" xfId="0" applyNumberFormat="1" applyFont="1" applyBorder="1"/>
    <xf numFmtId="165" fontId="42" fillId="0" borderId="9" xfId="0" applyNumberFormat="1" applyFont="1" applyBorder="1"/>
    <xf numFmtId="0" fontId="2" fillId="0" borderId="21" xfId="0" applyFont="1" applyBorder="1"/>
    <xf numFmtId="0" fontId="8" fillId="0" borderId="21" xfId="0" applyFont="1" applyBorder="1"/>
    <xf numFmtId="0" fontId="3" fillId="0" borderId="21" xfId="0" applyFont="1" applyBorder="1"/>
    <xf numFmtId="0" fontId="4" fillId="0" borderId="21" xfId="0" applyFont="1" applyBorder="1"/>
    <xf numFmtId="0" fontId="38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2" fontId="12" fillId="0" borderId="9" xfId="0" applyNumberFormat="1" applyFont="1" applyBorder="1"/>
    <xf numFmtId="2" fontId="12" fillId="0" borderId="14" xfId="0" applyNumberFormat="1" applyFont="1" applyBorder="1"/>
    <xf numFmtId="0" fontId="30" fillId="0" borderId="0" xfId="0" applyFont="1"/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2" fontId="5" fillId="18" borderId="0" xfId="0" applyNumberFormat="1" applyFont="1" applyFill="1" applyAlignment="1">
      <alignment horizontal="right"/>
    </xf>
    <xf numFmtId="2" fontId="6" fillId="0" borderId="0" xfId="0" applyNumberFormat="1" applyFont="1" applyAlignment="1">
      <alignment horizontal="right"/>
    </xf>
    <xf numFmtId="166" fontId="54" fillId="0" borderId="0" xfId="0" applyNumberFormat="1" applyFont="1"/>
    <xf numFmtId="166" fontId="8" fillId="0" borderId="0" xfId="0" applyNumberFormat="1" applyFont="1" applyAlignment="1">
      <alignment horizontal="right"/>
    </xf>
    <xf numFmtId="0" fontId="54" fillId="0" borderId="0" xfId="0" applyFont="1" applyAlignment="1">
      <alignment horizontal="left"/>
    </xf>
    <xf numFmtId="165" fontId="11" fillId="0" borderId="0" xfId="0" applyNumberFormat="1" applyFont="1"/>
    <xf numFmtId="0" fontId="54" fillId="0" borderId="0" xfId="0" applyFont="1"/>
    <xf numFmtId="0" fontId="12" fillId="0" borderId="0" xfId="0" applyFont="1"/>
    <xf numFmtId="1" fontId="30" fillId="0" borderId="0" xfId="0" applyNumberFormat="1" applyFont="1" applyAlignment="1">
      <alignment horizontal="right"/>
    </xf>
    <xf numFmtId="0" fontId="46" fillId="3" borderId="9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6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6" fillId="3" borderId="1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54" fillId="0" borderId="5" xfId="0" applyFont="1" applyBorder="1"/>
    <xf numFmtId="0" fontId="16" fillId="0" borderId="2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59" fillId="0" borderId="22" xfId="0" applyFont="1" applyBorder="1" applyAlignment="1">
      <alignment horizontal="center" vertical="center" wrapText="1"/>
    </xf>
    <xf numFmtId="0" fontId="60" fillId="0" borderId="22" xfId="0" applyFont="1" applyBorder="1" applyAlignment="1">
      <alignment vertical="center" wrapText="1"/>
    </xf>
    <xf numFmtId="0" fontId="61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166" fontId="3" fillId="0" borderId="9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166" fontId="6" fillId="0" borderId="10" xfId="0" applyNumberFormat="1" applyFont="1" applyBorder="1"/>
    <xf numFmtId="1" fontId="6" fillId="0" borderId="10" xfId="0" applyNumberFormat="1" applyFont="1" applyBorder="1"/>
    <xf numFmtId="2" fontId="3" fillId="0" borderId="9" xfId="0" applyNumberFormat="1" applyFont="1" applyBorder="1"/>
    <xf numFmtId="0" fontId="2" fillId="0" borderId="11" xfId="0" applyFont="1" applyBorder="1" applyAlignment="1">
      <alignment horizontal="center"/>
    </xf>
    <xf numFmtId="166" fontId="3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5" fillId="0" borderId="11" xfId="0" applyFont="1" applyBorder="1" applyAlignment="1">
      <alignment horizontal="center"/>
    </xf>
    <xf numFmtId="166" fontId="6" fillId="0" borderId="0" xfId="0" applyNumberFormat="1" applyFont="1"/>
    <xf numFmtId="1" fontId="6" fillId="0" borderId="0" xfId="0" applyNumberFormat="1" applyFont="1"/>
    <xf numFmtId="2" fontId="3" fillId="0" borderId="12" xfId="0" applyNumberFormat="1" applyFont="1" applyBorder="1"/>
    <xf numFmtId="166" fontId="48" fillId="0" borderId="0" xfId="0" applyNumberFormat="1" applyFont="1" applyAlignment="1">
      <alignment horizontal="right"/>
    </xf>
    <xf numFmtId="166" fontId="3" fillId="0" borderId="14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166" fontId="3" fillId="0" borderId="15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166" fontId="6" fillId="0" borderId="15" xfId="0" applyNumberFormat="1" applyFont="1" applyBorder="1"/>
    <xf numFmtId="1" fontId="6" fillId="0" borderId="15" xfId="0" applyNumberFormat="1" applyFont="1" applyBorder="1"/>
    <xf numFmtId="2" fontId="3" fillId="0" borderId="14" xfId="0" applyNumberFormat="1" applyFont="1" applyBorder="1"/>
    <xf numFmtId="166" fontId="48" fillId="0" borderId="15" xfId="0" applyNumberFormat="1" applyFont="1" applyBorder="1" applyAlignment="1">
      <alignment horizontal="right"/>
    </xf>
    <xf numFmtId="1" fontId="54" fillId="0" borderId="10" xfId="0" applyNumberFormat="1" applyFont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" fontId="54" fillId="0" borderId="0" xfId="0" applyNumberFormat="1" applyFont="1" applyAlignment="1">
      <alignment horizontal="right"/>
    </xf>
    <xf numFmtId="166" fontId="8" fillId="0" borderId="12" xfId="0" applyNumberFormat="1" applyFont="1" applyBorder="1" applyAlignment="1">
      <alignment horizontal="right"/>
    </xf>
    <xf numFmtId="1" fontId="54" fillId="0" borderId="15" xfId="0" applyNumberFormat="1" applyFont="1" applyBorder="1" applyAlignment="1">
      <alignment horizontal="right"/>
    </xf>
    <xf numFmtId="166" fontId="8" fillId="0" borderId="14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10" xfId="0" applyNumberFormat="1" applyFont="1" applyBorder="1"/>
    <xf numFmtId="1" fontId="11" fillId="0" borderId="10" xfId="0" applyNumberFormat="1" applyFont="1" applyBorder="1"/>
    <xf numFmtId="166" fontId="11" fillId="0" borderId="0" xfId="0" applyNumberFormat="1" applyFont="1"/>
    <xf numFmtId="166" fontId="11" fillId="0" borderId="15" xfId="0" applyNumberFormat="1" applyFont="1" applyBorder="1"/>
    <xf numFmtId="1" fontId="11" fillId="0" borderId="15" xfId="0" applyNumberFormat="1" applyFont="1" applyBorder="1"/>
    <xf numFmtId="2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6" fontId="7" fillId="0" borderId="0" xfId="0" quotePrefix="1" applyNumberFormat="1" applyFont="1" applyAlignment="1">
      <alignment horizontal="center"/>
    </xf>
    <xf numFmtId="2" fontId="11" fillId="0" borderId="0" xfId="0" quotePrefix="1" applyNumberFormat="1" applyFont="1" applyAlignment="1">
      <alignment horizontal="left"/>
    </xf>
    <xf numFmtId="0" fontId="8" fillId="0" borderId="15" xfId="0" applyFont="1" applyBorder="1" applyAlignment="1">
      <alignment horizontal="right"/>
    </xf>
    <xf numFmtId="166" fontId="8" fillId="0" borderId="15" xfId="0" applyNumberFormat="1" applyFont="1" applyBorder="1" applyAlignment="1">
      <alignment horizontal="right"/>
    </xf>
    <xf numFmtId="2" fontId="12" fillId="0" borderId="12" xfId="0" applyNumberFormat="1" applyFont="1" applyBorder="1"/>
    <xf numFmtId="2" fontId="2" fillId="2" borderId="0" xfId="0" applyNumberFormat="1" applyFont="1" applyFill="1"/>
    <xf numFmtId="2" fontId="0" fillId="2" borderId="0" xfId="0" applyNumberFormat="1" applyFill="1"/>
    <xf numFmtId="0" fontId="13" fillId="0" borderId="0" xfId="0" applyFont="1" applyAlignment="1">
      <alignment vertical="center"/>
    </xf>
    <xf numFmtId="166" fontId="19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165" fontId="45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right"/>
    </xf>
    <xf numFmtId="0" fontId="8" fillId="17" borderId="0" xfId="0" applyFont="1" applyFill="1" applyAlignment="1">
      <alignment horizontal="right" vertical="center"/>
    </xf>
    <xf numFmtId="1" fontId="8" fillId="0" borderId="17" xfId="0" applyNumberFormat="1" applyFont="1" applyBorder="1" applyAlignment="1">
      <alignment horizontal="right" vertical="center"/>
    </xf>
    <xf numFmtId="1" fontId="12" fillId="17" borderId="8" xfId="0" applyNumberFormat="1" applyFont="1" applyFill="1" applyBorder="1" applyAlignment="1">
      <alignment horizontal="right"/>
    </xf>
    <xf numFmtId="1" fontId="12" fillId="17" borderId="10" xfId="0" applyNumberFormat="1" applyFont="1" applyFill="1" applyBorder="1" applyAlignment="1">
      <alignment horizontal="right"/>
    </xf>
    <xf numFmtId="1" fontId="8" fillId="0" borderId="18" xfId="0" applyNumberFormat="1" applyFont="1" applyBorder="1" applyAlignment="1">
      <alignment horizontal="right"/>
    </xf>
    <xf numFmtId="1" fontId="8" fillId="17" borderId="11" xfId="0" applyNumberFormat="1" applyFont="1" applyFill="1" applyBorder="1" applyAlignment="1">
      <alignment horizontal="right"/>
    </xf>
    <xf numFmtId="1" fontId="8" fillId="17" borderId="0" xfId="0" applyNumberFormat="1" applyFont="1" applyFill="1" applyAlignment="1">
      <alignment horizontal="right"/>
    </xf>
    <xf numFmtId="1" fontId="8" fillId="0" borderId="18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right"/>
    </xf>
    <xf numFmtId="1" fontId="8" fillId="0" borderId="19" xfId="0" applyNumberFormat="1" applyFont="1" applyBorder="1" applyAlignment="1">
      <alignment horizontal="right"/>
    </xf>
    <xf numFmtId="1" fontId="8" fillId="17" borderId="13" xfId="0" applyNumberFormat="1" applyFont="1" applyFill="1" applyBorder="1" applyAlignment="1">
      <alignment horizontal="right"/>
    </xf>
    <xf numFmtId="1" fontId="8" fillId="17" borderId="15" xfId="0" applyNumberFormat="1" applyFont="1" applyFill="1" applyBorder="1" applyAlignment="1">
      <alignment horizontal="right"/>
    </xf>
    <xf numFmtId="166" fontId="19" fillId="0" borderId="11" xfId="0" applyNumberFormat="1" applyFont="1" applyBorder="1" applyAlignment="1">
      <alignment horizontal="right"/>
    </xf>
    <xf numFmtId="166" fontId="19" fillId="0" borderId="12" xfId="0" applyNumberFormat="1" applyFont="1" applyBorder="1" applyAlignment="1">
      <alignment horizontal="right"/>
    </xf>
    <xf numFmtId="166" fontId="19" fillId="0" borderId="13" xfId="0" applyNumberFormat="1" applyFont="1" applyBorder="1" applyAlignment="1">
      <alignment horizontal="right"/>
    </xf>
    <xf numFmtId="166" fontId="19" fillId="0" borderId="14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left"/>
    </xf>
    <xf numFmtId="1" fontId="30" fillId="0" borderId="10" xfId="0" applyNumberFormat="1" applyFont="1" applyBorder="1" applyAlignment="1">
      <alignment horizontal="right"/>
    </xf>
    <xf numFmtId="1" fontId="30" fillId="0" borderId="15" xfId="0" applyNumberFormat="1" applyFont="1" applyBorder="1" applyAlignment="1">
      <alignment horizontal="right"/>
    </xf>
    <xf numFmtId="166" fontId="45" fillId="0" borderId="11" xfId="0" applyNumberFormat="1" applyFont="1" applyBorder="1"/>
    <xf numFmtId="166" fontId="45" fillId="0" borderId="12" xfId="0" applyNumberFormat="1" applyFont="1" applyBorder="1"/>
    <xf numFmtId="166" fontId="45" fillId="0" borderId="13" xfId="0" applyNumberFormat="1" applyFont="1" applyBorder="1"/>
    <xf numFmtId="166" fontId="45" fillId="0" borderId="14" xfId="0" applyNumberFormat="1" applyFont="1" applyBorder="1"/>
    <xf numFmtId="166" fontId="30" fillId="0" borderId="0" xfId="0" applyNumberFormat="1" applyFont="1" applyAlignment="1">
      <alignment horizontal="right"/>
    </xf>
    <xf numFmtId="166" fontId="30" fillId="0" borderId="15" xfId="0" applyNumberFormat="1" applyFont="1" applyBorder="1" applyAlignment="1">
      <alignment horizontal="right"/>
    </xf>
    <xf numFmtId="1" fontId="8" fillId="0" borderId="11" xfId="0" applyNumberFormat="1" applyFont="1" applyBorder="1" applyAlignment="1">
      <alignment horizontal="right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166" fontId="43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left" vertical="center"/>
    </xf>
    <xf numFmtId="166" fontId="43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" fontId="43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horizontal="left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3" fillId="0" borderId="0" xfId="0" quotePrefix="1" applyFont="1"/>
    <xf numFmtId="0" fontId="12" fillId="0" borderId="0" xfId="0" applyFont="1" applyAlignment="1">
      <alignment horizontal="left"/>
    </xf>
    <xf numFmtId="0" fontId="4" fillId="0" borderId="10" xfId="0" applyFont="1" applyBorder="1" applyAlignment="1">
      <alignment horizontal="right"/>
    </xf>
    <xf numFmtId="1" fontId="63" fillId="0" borderId="0" xfId="0" applyNumberFormat="1" applyFont="1"/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indent="1"/>
    </xf>
    <xf numFmtId="166" fontId="8" fillId="3" borderId="0" xfId="0" applyNumberFormat="1" applyFont="1" applyFill="1"/>
    <xf numFmtId="0" fontId="33" fillId="0" borderId="0" xfId="0" applyFont="1"/>
    <xf numFmtId="0" fontId="55" fillId="0" borderId="0" xfId="0" applyFont="1"/>
    <xf numFmtId="1" fontId="54" fillId="0" borderId="0" xfId="0" applyNumberFormat="1" applyFont="1"/>
    <xf numFmtId="0" fontId="30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48" fillId="0" borderId="8" xfId="0" applyNumberFormat="1" applyFont="1" applyBorder="1" applyAlignment="1">
      <alignment horizontal="right"/>
    </xf>
    <xf numFmtId="1" fontId="48" fillId="0" borderId="11" xfId="0" applyNumberFormat="1" applyFont="1" applyBorder="1" applyAlignment="1">
      <alignment horizontal="right"/>
    </xf>
    <xf numFmtId="1" fontId="48" fillId="0" borderId="13" xfId="0" applyNumberFormat="1" applyFont="1" applyBorder="1" applyAlignment="1">
      <alignment horizontal="right"/>
    </xf>
    <xf numFmtId="1" fontId="21" fillId="0" borderId="8" xfId="0" applyNumberFormat="1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1" fontId="21" fillId="0" borderId="13" xfId="0" applyNumberFormat="1" applyFont="1" applyBorder="1" applyAlignment="1">
      <alignment horizontal="right"/>
    </xf>
    <xf numFmtId="2" fontId="34" fillId="0" borderId="0" xfId="0" applyNumberFormat="1" applyFont="1"/>
    <xf numFmtId="0" fontId="17" fillId="0" borderId="0" xfId="0" applyFont="1"/>
    <xf numFmtId="0" fontId="34" fillId="0" borderId="0" xfId="0" applyFont="1" applyAlignment="1">
      <alignment wrapText="1"/>
    </xf>
    <xf numFmtId="0" fontId="4" fillId="4" borderId="0" xfId="0" applyFont="1" applyFill="1"/>
    <xf numFmtId="0" fontId="13" fillId="13" borderId="13" xfId="0" applyFont="1" applyFill="1" applyBorder="1" applyAlignment="1">
      <alignment horizontal="center" vertical="center" wrapText="1"/>
    </xf>
    <xf numFmtId="2" fontId="30" fillId="0" borderId="0" xfId="0" applyNumberFormat="1" applyFont="1" applyAlignment="1">
      <alignment vertical="center" wrapText="1"/>
    </xf>
    <xf numFmtId="2" fontId="30" fillId="3" borderId="0" xfId="0" applyNumberFormat="1" applyFont="1" applyFill="1" applyAlignment="1">
      <alignment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2" fontId="55" fillId="3" borderId="12" xfId="0" applyNumberFormat="1" applyFont="1" applyFill="1" applyBorder="1" applyAlignment="1">
      <alignment vertical="center" wrapText="1"/>
    </xf>
    <xf numFmtId="2" fontId="55" fillId="0" borderId="0" xfId="0" applyNumberFormat="1" applyFont="1" applyAlignment="1">
      <alignment vertical="center" wrapText="1"/>
    </xf>
    <xf numFmtId="0" fontId="31" fillId="3" borderId="14" xfId="0" applyFont="1" applyFill="1" applyBorder="1" applyAlignment="1">
      <alignment horizontal="right" vertical="center" wrapText="1"/>
    </xf>
    <xf numFmtId="0" fontId="31" fillId="0" borderId="10" xfId="0" applyFont="1" applyBorder="1" applyAlignment="1">
      <alignment horizontal="right" vertical="center" wrapText="1"/>
    </xf>
    <xf numFmtId="166" fontId="64" fillId="0" borderId="20" xfId="0" applyNumberFormat="1" applyFont="1" applyBorder="1" applyAlignment="1">
      <alignment horizontal="right" vertical="center" wrapText="1"/>
    </xf>
    <xf numFmtId="2" fontId="3" fillId="10" borderId="7" xfId="0" applyNumberFormat="1" applyFont="1" applyFill="1" applyBorder="1"/>
    <xf numFmtId="2" fontId="3" fillId="10" borderId="2" xfId="0" applyNumberFormat="1" applyFont="1" applyFill="1" applyBorder="1"/>
    <xf numFmtId="2" fontId="65" fillId="10" borderId="13" xfId="0" applyNumberFormat="1" applyFont="1" applyFill="1" applyBorder="1" applyAlignment="1">
      <alignment vertical="center" wrapText="1"/>
    </xf>
    <xf numFmtId="2" fontId="65" fillId="10" borderId="15" xfId="0" applyNumberFormat="1" applyFont="1" applyFill="1" applyBorder="1" applyAlignment="1">
      <alignment vertical="center" wrapText="1"/>
    </xf>
    <xf numFmtId="2" fontId="65" fillId="10" borderId="14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2" fontId="0" fillId="0" borderId="22" xfId="0" applyNumberFormat="1" applyBorder="1" applyAlignment="1">
      <alignment vertical="center" wrapText="1"/>
    </xf>
    <xf numFmtId="0" fontId="67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69" fillId="0" borderId="0" xfId="0" applyFont="1"/>
    <xf numFmtId="2" fontId="53" fillId="0" borderId="0" xfId="0" applyNumberFormat="1" applyFont="1"/>
    <xf numFmtId="0" fontId="7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63" fillId="0" borderId="0" xfId="0" applyFont="1"/>
    <xf numFmtId="4" fontId="8" fillId="0" borderId="9" xfId="0" applyNumberFormat="1" applyFont="1" applyBorder="1"/>
    <xf numFmtId="4" fontId="8" fillId="0" borderId="12" xfId="0" applyNumberFormat="1" applyFont="1" applyBorder="1"/>
    <xf numFmtId="4" fontId="8" fillId="0" borderId="14" xfId="0" applyNumberFormat="1" applyFont="1" applyBorder="1"/>
    <xf numFmtId="2" fontId="7" fillId="18" borderId="0" xfId="0" applyNumberFormat="1" applyFont="1" applyFill="1" applyAlignment="1">
      <alignment horizontal="right"/>
    </xf>
    <xf numFmtId="2" fontId="5" fillId="0" borderId="0" xfId="0" quotePrefix="1" applyNumberFormat="1" applyFont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3" fillId="12" borderId="7" xfId="0" applyFont="1" applyFill="1" applyBorder="1" applyAlignment="1">
      <alignment horizontal="right" wrapText="1"/>
    </xf>
    <xf numFmtId="0" fontId="4" fillId="12" borderId="7" xfId="0" applyFont="1" applyFill="1" applyBorder="1" applyAlignment="1">
      <alignment horizontal="right"/>
    </xf>
    <xf numFmtId="0" fontId="4" fillId="11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right"/>
    </xf>
    <xf numFmtId="0" fontId="29" fillId="4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right"/>
    </xf>
    <xf numFmtId="1" fontId="16" fillId="4" borderId="7" xfId="0" applyNumberFormat="1" applyFont="1" applyFill="1" applyBorder="1" applyAlignment="1">
      <alignment horizontal="right" wrapText="1"/>
    </xf>
    <xf numFmtId="0" fontId="13" fillId="4" borderId="2" xfId="0" applyFont="1" applyFill="1" applyBorder="1" applyAlignment="1">
      <alignment horizontal="center" vertical="center" wrapText="1"/>
    </xf>
    <xf numFmtId="2" fontId="30" fillId="0" borderId="0" xfId="0" applyNumberFormat="1" applyFont="1"/>
    <xf numFmtId="1" fontId="30" fillId="0" borderId="0" xfId="0" applyNumberFormat="1" applyFont="1"/>
    <xf numFmtId="166" fontId="53" fillId="0" borderId="8" xfId="0" applyNumberFormat="1" applyFont="1" applyBorder="1" applyAlignment="1">
      <alignment horizontal="right"/>
    </xf>
    <xf numFmtId="166" fontId="53" fillId="0" borderId="9" xfId="0" applyNumberFormat="1" applyFont="1" applyBorder="1" applyAlignment="1">
      <alignment horizontal="right"/>
    </xf>
    <xf numFmtId="166" fontId="53" fillId="0" borderId="8" xfId="0" applyNumberFormat="1" applyFont="1" applyBorder="1" applyAlignment="1">
      <alignment vertical="center"/>
    </xf>
    <xf numFmtId="166" fontId="53" fillId="0" borderId="9" xfId="0" applyNumberFormat="1" applyFont="1" applyBorder="1"/>
    <xf numFmtId="1" fontId="54" fillId="0" borderId="17" xfId="0" applyNumberFormat="1" applyFont="1" applyBorder="1" applyAlignment="1">
      <alignment horizontal="right" vertical="center"/>
    </xf>
    <xf numFmtId="1" fontId="54" fillId="17" borderId="8" xfId="0" applyNumberFormat="1" applyFont="1" applyFill="1" applyBorder="1" applyAlignment="1">
      <alignment horizontal="right"/>
    </xf>
    <xf numFmtId="1" fontId="54" fillId="17" borderId="10" xfId="0" applyNumberFormat="1" applyFont="1" applyFill="1" applyBorder="1" applyAlignment="1">
      <alignment horizontal="right"/>
    </xf>
    <xf numFmtId="0" fontId="17" fillId="12" borderId="1" xfId="0" applyFont="1" applyFill="1" applyBorder="1" applyAlignment="1">
      <alignment horizontal="left"/>
    </xf>
    <xf numFmtId="0" fontId="13" fillId="11" borderId="7" xfId="0" applyFont="1" applyFill="1" applyBorder="1" applyAlignment="1">
      <alignment horizontal="right"/>
    </xf>
    <xf numFmtId="0" fontId="15" fillId="4" borderId="7" xfId="0" applyFont="1" applyFill="1" applyBorder="1" applyAlignment="1">
      <alignment horizontal="center"/>
    </xf>
    <xf numFmtId="0" fontId="59" fillId="2" borderId="1" xfId="0" applyFont="1" applyFill="1" applyBorder="1" applyAlignment="1">
      <alignment horizontal="center" vertical="center" wrapText="1"/>
    </xf>
    <xf numFmtId="166" fontId="62" fillId="18" borderId="7" xfId="0" applyNumberFormat="1" applyFont="1" applyFill="1" applyBorder="1" applyAlignment="1">
      <alignment horizontal="right" vertical="center" wrapText="1"/>
    </xf>
    <xf numFmtId="166" fontId="62" fillId="18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6" fontId="66" fillId="2" borderId="7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165" fontId="54" fillId="0" borderId="0" xfId="0" applyNumberFormat="1" applyFont="1"/>
    <xf numFmtId="0" fontId="4" fillId="0" borderId="23" xfId="0" applyFont="1" applyBorder="1" applyAlignment="1">
      <alignment horizontal="left"/>
    </xf>
    <xf numFmtId="0" fontId="30" fillId="0" borderId="24" xfId="0" applyFont="1" applyBorder="1"/>
    <xf numFmtId="0" fontId="30" fillId="0" borderId="25" xfId="0" applyFont="1" applyBorder="1"/>
    <xf numFmtId="0" fontId="30" fillId="0" borderId="26" xfId="0" applyFont="1" applyBorder="1"/>
    <xf numFmtId="0" fontId="74" fillId="0" borderId="0" xfId="0" applyFont="1"/>
    <xf numFmtId="0" fontId="2" fillId="0" borderId="1" xfId="0" applyFont="1" applyBorder="1"/>
    <xf numFmtId="0" fontId="8" fillId="3" borderId="0" xfId="0" applyFont="1" applyFill="1" applyAlignment="1">
      <alignment horizontal="right" vertical="center"/>
    </xf>
    <xf numFmtId="0" fontId="8" fillId="0" borderId="1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8" fillId="0" borderId="8" xfId="0" quotePrefix="1" applyFont="1" applyBorder="1" applyAlignment="1">
      <alignment horizontal="right"/>
    </xf>
    <xf numFmtId="0" fontId="8" fillId="0" borderId="9" xfId="0" quotePrefix="1" applyFont="1" applyBorder="1" applyAlignment="1">
      <alignment horizontal="right"/>
    </xf>
    <xf numFmtId="0" fontId="8" fillId="0" borderId="11" xfId="0" quotePrefix="1" applyFont="1" applyBorder="1" applyAlignment="1">
      <alignment horizontal="right"/>
    </xf>
    <xf numFmtId="0" fontId="8" fillId="0" borderId="12" xfId="0" quotePrefix="1" applyFont="1" applyBorder="1" applyAlignment="1">
      <alignment horizontal="right"/>
    </xf>
    <xf numFmtId="0" fontId="8" fillId="0" borderId="13" xfId="0" quotePrefix="1" applyFont="1" applyBorder="1" applyAlignment="1">
      <alignment horizontal="right"/>
    </xf>
    <xf numFmtId="0" fontId="8" fillId="0" borderId="15" xfId="0" quotePrefix="1" applyFont="1" applyBorder="1" applyAlignment="1">
      <alignment horizontal="right"/>
    </xf>
    <xf numFmtId="0" fontId="8" fillId="0" borderId="14" xfId="0" quotePrefix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166" fontId="13" fillId="3" borderId="0" xfId="0" applyNumberFormat="1" applyFont="1" applyFill="1"/>
    <xf numFmtId="165" fontId="38" fillId="3" borderId="0" xfId="0" applyNumberFormat="1" applyFont="1" applyFill="1"/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5" fillId="0" borderId="9" xfId="0" applyFont="1" applyBorder="1" applyAlignment="1">
      <alignment horizontal="right"/>
    </xf>
    <xf numFmtId="0" fontId="42" fillId="0" borderId="0" xfId="0" applyFont="1"/>
    <xf numFmtId="166" fontId="8" fillId="3" borderId="0" xfId="0" applyNumberFormat="1" applyFont="1" applyFill="1" applyAlignment="1">
      <alignment horizontal="right"/>
    </xf>
    <xf numFmtId="166" fontId="11" fillId="3" borderId="0" xfId="0" applyNumberFormat="1" applyFont="1" applyFill="1"/>
    <xf numFmtId="167" fontId="19" fillId="0" borderId="0" xfId="0" applyNumberFormat="1" applyFont="1"/>
    <xf numFmtId="2" fontId="71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2" fontId="70" fillId="0" borderId="0" xfId="0" applyNumberFormat="1" applyFont="1" applyAlignment="1">
      <alignment vertical="center" wrapText="1"/>
    </xf>
    <xf numFmtId="0" fontId="12" fillId="0" borderId="0" xfId="0" quotePrefix="1" applyFont="1" applyAlignment="1">
      <alignment horizontal="right"/>
    </xf>
    <xf numFmtId="2" fontId="42" fillId="0" borderId="0" xfId="0" applyNumberFormat="1" applyFont="1" applyAlignment="1">
      <alignment vertical="center" wrapText="1"/>
    </xf>
    <xf numFmtId="0" fontId="77" fillId="0" borderId="0" xfId="0" applyFont="1"/>
    <xf numFmtId="1" fontId="12" fillId="0" borderId="0" xfId="0" applyNumberFormat="1" applyFont="1"/>
    <xf numFmtId="0" fontId="2" fillId="0" borderId="11" xfId="0" applyFont="1" applyBorder="1" applyAlignment="1">
      <alignment horizontal="right" vertical="center"/>
    </xf>
    <xf numFmtId="0" fontId="54" fillId="0" borderId="6" xfId="0" applyFont="1" applyBorder="1"/>
    <xf numFmtId="165" fontId="79" fillId="2" borderId="0" xfId="0" applyNumberFormat="1" applyFont="1" applyFill="1" applyAlignment="1">
      <alignment horizontal="right" vertical="center" wrapText="1"/>
    </xf>
    <xf numFmtId="165" fontId="79" fillId="20" borderId="0" xfId="0" applyNumberFormat="1" applyFont="1" applyFill="1" applyAlignment="1">
      <alignment horizontal="right" vertical="center" wrapText="1"/>
    </xf>
    <xf numFmtId="165" fontId="79" fillId="0" borderId="0" xfId="0" applyNumberFormat="1" applyFont="1" applyAlignment="1">
      <alignment horizontal="right" vertical="center" wrapText="1"/>
    </xf>
    <xf numFmtId="165" fontId="80" fillId="20" borderId="0" xfId="0" applyNumberFormat="1" applyFont="1" applyFill="1" applyAlignment="1">
      <alignment horizontal="right" vertical="center" wrapText="1"/>
    </xf>
    <xf numFmtId="165" fontId="79" fillId="21" borderId="0" xfId="0" applyNumberFormat="1" applyFont="1" applyFill="1" applyAlignment="1">
      <alignment horizontal="right" vertical="center" wrapText="1"/>
    </xf>
    <xf numFmtId="0" fontId="81" fillId="0" borderId="0" xfId="2" applyFont="1" applyBorder="1" applyAlignment="1">
      <alignment horizontal="left" vertical="center" wrapText="1"/>
    </xf>
    <xf numFmtId="165" fontId="82" fillId="0" borderId="0" xfId="0" applyNumberFormat="1" applyFont="1" applyAlignment="1">
      <alignment vertical="center" wrapText="1"/>
    </xf>
    <xf numFmtId="165" fontId="0" fillId="0" borderId="0" xfId="0" applyNumberFormat="1"/>
    <xf numFmtId="0" fontId="13" fillId="2" borderId="0" xfId="0" applyFont="1" applyFill="1" applyAlignment="1">
      <alignment horizontal="right"/>
    </xf>
    <xf numFmtId="0" fontId="83" fillId="0" borderId="0" xfId="2" applyFont="1" applyBorder="1" applyAlignment="1">
      <alignment horizontal="left" vertical="center" wrapText="1"/>
    </xf>
    <xf numFmtId="0" fontId="75" fillId="0" borderId="0" xfId="0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/>
    <xf numFmtId="167" fontId="11" fillId="0" borderId="0" xfId="0" applyNumberFormat="1" applyFont="1"/>
    <xf numFmtId="166" fontId="8" fillId="0" borderId="21" xfId="0" applyNumberFormat="1" applyFont="1" applyBorder="1"/>
    <xf numFmtId="0" fontId="16" fillId="0" borderId="16" xfId="0" applyFont="1" applyBorder="1" applyAlignment="1">
      <alignment horizontal="right"/>
    </xf>
    <xf numFmtId="0" fontId="84" fillId="0" borderId="0" xfId="0" applyFont="1"/>
    <xf numFmtId="0" fontId="0" fillId="0" borderId="21" xfId="0" applyBorder="1"/>
    <xf numFmtId="2" fontId="1" fillId="0" borderId="0" xfId="0" applyNumberFormat="1" applyFont="1"/>
    <xf numFmtId="0" fontId="30" fillId="0" borderId="21" xfId="0" applyFont="1" applyBorder="1"/>
    <xf numFmtId="166" fontId="85" fillId="18" borderId="7" xfId="0" applyNumberFormat="1" applyFont="1" applyFill="1" applyBorder="1" applyAlignment="1">
      <alignment horizontal="right" vertical="center" wrapText="1"/>
    </xf>
    <xf numFmtId="2" fontId="53" fillId="0" borderId="0" xfId="0" applyNumberFormat="1" applyFont="1" applyAlignment="1">
      <alignment vertical="center" wrapText="1"/>
    </xf>
    <xf numFmtId="166" fontId="85" fillId="18" borderId="2" xfId="0" applyNumberFormat="1" applyFont="1" applyFill="1" applyBorder="1" applyAlignment="1">
      <alignment horizontal="right" vertical="center" wrapText="1"/>
    </xf>
    <xf numFmtId="1" fontId="45" fillId="0" borderId="0" xfId="0" applyNumberFormat="1" applyFont="1"/>
    <xf numFmtId="0" fontId="86" fillId="13" borderId="2" xfId="0" applyFont="1" applyFill="1" applyBorder="1" applyAlignment="1">
      <alignment horizontal="right"/>
    </xf>
    <xf numFmtId="0" fontId="12" fillId="13" borderId="1" xfId="0" applyFont="1" applyFill="1" applyBorder="1" applyAlignment="1">
      <alignment horizontal="right"/>
    </xf>
    <xf numFmtId="0" fontId="72" fillId="13" borderId="7" xfId="0" applyFont="1" applyFill="1" applyBorder="1" applyAlignment="1">
      <alignment horizontal="right"/>
    </xf>
    <xf numFmtId="0" fontId="31" fillId="13" borderId="7" xfId="0" applyFont="1" applyFill="1" applyBorder="1" applyAlignment="1">
      <alignment horizontal="right"/>
    </xf>
    <xf numFmtId="0" fontId="47" fillId="4" borderId="0" xfId="0" applyFont="1" applyFill="1"/>
    <xf numFmtId="0" fontId="12" fillId="0" borderId="21" xfId="0" applyFont="1" applyBorder="1"/>
    <xf numFmtId="0" fontId="72" fillId="0" borderId="21" xfId="0" applyFont="1" applyBorder="1"/>
    <xf numFmtId="0" fontId="31" fillId="0" borderId="21" xfId="0" applyFont="1" applyBorder="1"/>
    <xf numFmtId="0" fontId="86" fillId="0" borderId="21" xfId="0" applyFont="1" applyBorder="1"/>
    <xf numFmtId="166" fontId="4" fillId="0" borderId="0" xfId="0" applyNumberFormat="1" applyFont="1"/>
    <xf numFmtId="0" fontId="87" fillId="0" borderId="0" xfId="0" applyFont="1"/>
    <xf numFmtId="0" fontId="88" fillId="0" borderId="0" xfId="0" applyFont="1"/>
    <xf numFmtId="167" fontId="89" fillId="0" borderId="21" xfId="0" applyNumberFormat="1" applyFont="1" applyBorder="1"/>
    <xf numFmtId="3" fontId="4" fillId="0" borderId="0" xfId="0" applyNumberFormat="1" applyFont="1"/>
    <xf numFmtId="167" fontId="87" fillId="0" borderId="0" xfId="0" applyNumberFormat="1" applyFont="1"/>
    <xf numFmtId="167" fontId="4" fillId="0" borderId="0" xfId="0" applyNumberFormat="1" applyFont="1"/>
    <xf numFmtId="1" fontId="50" fillId="0" borderId="0" xfId="0" applyNumberFormat="1" applyFont="1" applyAlignment="1">
      <alignment horizontal="right" vertical="center" wrapText="1"/>
    </xf>
    <xf numFmtId="167" fontId="12" fillId="0" borderId="0" xfId="0" applyNumberFormat="1" applyFont="1"/>
    <xf numFmtId="167" fontId="30" fillId="0" borderId="0" xfId="0" applyNumberFormat="1" applyFont="1" applyAlignment="1">
      <alignment horizontal="right"/>
    </xf>
    <xf numFmtId="167" fontId="55" fillId="0" borderId="0" xfId="0" applyNumberFormat="1" applyFont="1"/>
    <xf numFmtId="167" fontId="90" fillId="0" borderId="0" xfId="0" applyNumberFormat="1" applyFont="1" applyAlignment="1">
      <alignment vertical="center" wrapText="1"/>
    </xf>
    <xf numFmtId="1" fontId="31" fillId="0" borderId="0" xfId="0" applyNumberFormat="1" applyFont="1"/>
    <xf numFmtId="167" fontId="69" fillId="0" borderId="0" xfId="0" applyNumberFormat="1" applyFont="1"/>
    <xf numFmtId="167" fontId="89" fillId="0" borderId="0" xfId="0" applyNumberFormat="1" applyFont="1"/>
    <xf numFmtId="167" fontId="31" fillId="0" borderId="0" xfId="0" applyNumberFormat="1" applyFont="1"/>
    <xf numFmtId="167" fontId="72" fillId="0" borderId="0" xfId="0" applyNumberFormat="1" applyFont="1"/>
    <xf numFmtId="167" fontId="91" fillId="0" borderId="0" xfId="0" applyNumberFormat="1" applyFont="1"/>
    <xf numFmtId="0" fontId="53" fillId="0" borderId="0" xfId="0" applyFont="1"/>
    <xf numFmtId="0" fontId="2" fillId="4" borderId="0" xfId="0" applyFont="1" applyFill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0" fontId="4" fillId="21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41" fillId="3" borderId="8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4" borderId="0" xfId="0" applyFont="1" applyFill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" fontId="43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5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/>
    </xf>
    <xf numFmtId="0" fontId="4" fillId="16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2" fontId="4" fillId="2" borderId="0" xfId="0" applyNumberFormat="1" applyFont="1" applyFill="1" applyAlignment="1">
      <alignment horizontal="center"/>
    </xf>
    <xf numFmtId="166" fontId="4" fillId="5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66" fontId="13" fillId="8" borderId="0" xfId="0" applyNumberFormat="1" applyFont="1" applyFill="1" applyAlignment="1">
      <alignment horizontal="center"/>
    </xf>
    <xf numFmtId="166" fontId="19" fillId="8" borderId="0" xfId="0" applyNumberFormat="1" applyFont="1" applyFill="1" applyAlignment="1">
      <alignment horizontal="center"/>
    </xf>
    <xf numFmtId="0" fontId="4" fillId="19" borderId="1" xfId="0" applyFont="1" applyFill="1" applyBorder="1" applyAlignment="1">
      <alignment horizontal="center"/>
    </xf>
    <xf numFmtId="0" fontId="4" fillId="19" borderId="7" xfId="0" applyFont="1" applyFill="1" applyBorder="1" applyAlignment="1">
      <alignment horizontal="center"/>
    </xf>
    <xf numFmtId="0" fontId="4" fillId="19" borderId="2" xfId="0" applyFont="1" applyFill="1" applyBorder="1" applyAlignment="1">
      <alignment horizontal="center"/>
    </xf>
    <xf numFmtId="166" fontId="4" fillId="7" borderId="0" xfId="0" applyNumberFormat="1" applyFont="1" applyFill="1" applyAlignment="1">
      <alignment horizontal="center"/>
    </xf>
    <xf numFmtId="166" fontId="2" fillId="8" borderId="0" xfId="0" applyNumberFormat="1" applyFont="1" applyFill="1" applyAlignment="1">
      <alignment horizontal="center"/>
    </xf>
    <xf numFmtId="166" fontId="0" fillId="8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/>
    </xf>
    <xf numFmtId="0" fontId="63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Normal 2" xfId="1" xr:uid="{025F08A0-2673-4C2C-AB4A-D81B90F22294}"/>
  </cellStyles>
  <dxfs count="0"/>
  <tableStyles count="0" defaultTableStyle="TableStyleMedium2" defaultPivotStyle="PivotStyleLight16"/>
  <colors>
    <mruColors>
      <color rgb="FFFF00FF"/>
      <color rgb="FFFF6699"/>
      <color rgb="FFFFCC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600" b="1">
                <a:solidFill>
                  <a:schemeClr val="tx1"/>
                </a:solidFill>
              </a:rPr>
              <a:t>X</a:t>
            </a:r>
            <a:r>
              <a:rPr lang="en-CA" sz="1600" b="1" baseline="0">
                <a:solidFill>
                  <a:sysClr val="windowText" lastClr="000000"/>
                </a:solidFill>
              </a:rPr>
              <a:t> </a:t>
            </a:r>
            <a:r>
              <a:rPr lang="en-CA" sz="1600" b="0" i="1" baseline="0">
                <a:solidFill>
                  <a:sysClr val="windowText" lastClr="000000"/>
                </a:solidFill>
              </a:rPr>
              <a:t>vs</a:t>
            </a:r>
            <a:r>
              <a:rPr lang="en-CA" sz="1600" b="1" baseline="0">
                <a:solidFill>
                  <a:sysClr val="windowText" lastClr="000000"/>
                </a:solidFill>
              </a:rPr>
              <a:t> </a:t>
            </a:r>
            <a:r>
              <a:rPr lang="en-CA" sz="1600" b="1" baseline="0">
                <a:solidFill>
                  <a:srgbClr val="FF0000"/>
                </a:solidFill>
              </a:rPr>
              <a:t>X</a:t>
            </a:r>
            <a:r>
              <a:rPr lang="en-CA" sz="1600" b="1" i="1" baseline="0">
                <a:solidFill>
                  <a:srgbClr val="FF0000"/>
                </a:solidFill>
              </a:rPr>
              <a:t>lnX</a:t>
            </a:r>
            <a:endParaRPr lang="en-CA" sz="1600" b="1" i="1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40439231452038121"/>
          <c:y val="0.11258241900090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A"/>
        </a:p>
      </c:txPr>
    </c:title>
    <c:autoTitleDeleted val="0"/>
    <c:plotArea>
      <c:layout>
        <c:manualLayout>
          <c:layoutTarget val="inner"/>
          <c:xMode val="edge"/>
          <c:yMode val="edge"/>
          <c:x val="0.10916489555225047"/>
          <c:y val="0.14230303030303032"/>
          <c:w val="0.89470153316695844"/>
          <c:h val="0.83345454545454545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3175">
                <a:noFill/>
              </a:ln>
              <a:effectLst/>
            </c:spPr>
          </c:marker>
          <c:xVal>
            <c:numRef>
              <c:f>'X vs XlnK'!$B$3:$B$102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'X vs XlnK'!$D$3:$D$102</c:f>
              <c:numCache>
                <c:formatCode>0.00</c:formatCode>
                <c:ptCount val="100"/>
                <c:pt idx="0">
                  <c:v>0</c:v>
                </c:pt>
                <c:pt idx="1">
                  <c:v>1.3862943611198906</c:v>
                </c:pt>
                <c:pt idx="2">
                  <c:v>3.2958368660043291</c:v>
                </c:pt>
                <c:pt idx="3">
                  <c:v>5.5451774444795623</c:v>
                </c:pt>
                <c:pt idx="4">
                  <c:v>8.0471895621705016</c:v>
                </c:pt>
                <c:pt idx="5">
                  <c:v>10.750556815368331</c:v>
                </c:pt>
                <c:pt idx="6">
                  <c:v>13.621371043387192</c:v>
                </c:pt>
                <c:pt idx="7">
                  <c:v>16.635532333438686</c:v>
                </c:pt>
                <c:pt idx="8">
                  <c:v>19.775021196025975</c:v>
                </c:pt>
                <c:pt idx="9">
                  <c:v>23.025850929940461</c:v>
                </c:pt>
                <c:pt idx="10">
                  <c:v>26.376848000782076</c:v>
                </c:pt>
                <c:pt idx="11">
                  <c:v>29.818879797456006</c:v>
                </c:pt>
                <c:pt idx="12">
                  <c:v>33.344341646999979</c:v>
                </c:pt>
                <c:pt idx="13">
                  <c:v>36.946802614613617</c:v>
                </c:pt>
                <c:pt idx="14">
                  <c:v>40.620753016533151</c:v>
                </c:pt>
                <c:pt idx="15">
                  <c:v>44.361419555836498</c:v>
                </c:pt>
                <c:pt idx="16">
                  <c:v>48.164626848955677</c:v>
                </c:pt>
                <c:pt idx="17">
                  <c:v>52.026691642130963</c:v>
                </c:pt>
                <c:pt idx="18">
                  <c:v>55.944340604162363</c:v>
                </c:pt>
                <c:pt idx="19">
                  <c:v>59.914645471079815</c:v>
                </c:pt>
                <c:pt idx="20">
                  <c:v>63.934971192191881</c:v>
                </c:pt>
                <c:pt idx="21">
                  <c:v>68.002933973882961</c:v>
                </c:pt>
                <c:pt idx="22">
                  <c:v>72.116366966370435</c:v>
                </c:pt>
                <c:pt idx="23">
                  <c:v>76.273291928350702</c:v>
                </c:pt>
                <c:pt idx="24">
                  <c:v>80.471895621705016</c:v>
                </c:pt>
                <c:pt idx="25">
                  <c:v>84.710509988558542</c:v>
                </c:pt>
                <c:pt idx="26">
                  <c:v>88.987595382116893</c:v>
                </c:pt>
                <c:pt idx="27">
                  <c:v>93.301726284905712</c:v>
                </c:pt>
                <c:pt idx="28">
                  <c:v>97.651579069607749</c:v>
                </c:pt>
                <c:pt idx="29">
                  <c:v>102.03592144986466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B4-4126-94A5-1402B30A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9532368"/>
        <c:axId val="1809533328"/>
      </c:scatterChart>
      <c:valAx>
        <c:axId val="18095323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533328"/>
        <c:crosses val="autoZero"/>
        <c:crossBetween val="midCat"/>
      </c:valAx>
      <c:valAx>
        <c:axId val="1809533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53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62</xdr:row>
      <xdr:rowOff>161925</xdr:rowOff>
    </xdr:from>
    <xdr:to>
      <xdr:col>6</xdr:col>
      <xdr:colOff>523875</xdr:colOff>
      <xdr:row>63</xdr:row>
      <xdr:rowOff>234950</xdr:rowOff>
    </xdr:to>
    <xdr:sp macro="" textlink="">
      <xdr:nvSpPr>
        <xdr:cNvPr id="5" name="AutoShape 8" descr="{\textstyle O_{i}\geq 0}">
          <a:extLst>
            <a:ext uri="{FF2B5EF4-FFF2-40B4-BE49-F238E27FC236}">
              <a16:creationId xmlns:a16="http://schemas.microsoft.com/office/drawing/2014/main" id="{1361320F-3612-485E-A4F5-7951625C4D68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524000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485775</xdr:colOff>
      <xdr:row>65</xdr:row>
      <xdr:rowOff>190500</xdr:rowOff>
    </xdr:from>
    <xdr:to>
      <xdr:col>22</xdr:col>
      <xdr:colOff>180975</xdr:colOff>
      <xdr:row>67</xdr:row>
      <xdr:rowOff>25400</xdr:rowOff>
    </xdr:to>
    <xdr:sp macro="" textlink="">
      <xdr:nvSpPr>
        <xdr:cNvPr id="7" name="AutoShape 10" descr="{\textstyle \ln }">
          <a:extLst>
            <a:ext uri="{FF2B5EF4-FFF2-40B4-BE49-F238E27FC236}">
              <a16:creationId xmlns:a16="http://schemas.microsoft.com/office/drawing/2014/main" id="{74B7E01B-D62C-4A42-AA3A-F9B3B789D1B9}"/>
            </a:ext>
          </a:extLst>
        </xdr:cNvPr>
        <xdr:cNvSpPr>
          <a:spLocks noChangeAspect="1" noChangeArrowheads="1"/>
        </xdr:cNvSpPr>
      </xdr:nvSpPr>
      <xdr:spPr bwMode="auto">
        <a:xfrm>
          <a:off x="6029325" y="150304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174625</xdr:colOff>
      <xdr:row>7</xdr:row>
      <xdr:rowOff>6350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D10C321-2D5A-46B0-80BF-6038F748FC2F}"/>
                </a:ext>
              </a:extLst>
            </xdr:cNvPr>
            <xdr:cNvSpPr txBox="1"/>
          </xdr:nvSpPr>
          <xdr:spPr>
            <a:xfrm>
              <a:off x="5727700" y="233997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D10C321-2D5A-46B0-80BF-6038F748FC2F}"/>
                </a:ext>
              </a:extLst>
            </xdr:cNvPr>
            <xdr:cNvSpPr txBox="1"/>
          </xdr:nvSpPr>
          <xdr:spPr>
            <a:xfrm>
              <a:off x="5727700" y="233997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8</xdr:col>
      <xdr:colOff>85725</xdr:colOff>
      <xdr:row>14</xdr:row>
      <xdr:rowOff>266700</xdr:rowOff>
    </xdr:from>
    <xdr:ext cx="485775" cy="352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6C3178-BD72-43BF-A08F-D67E00C51E55}"/>
                </a:ext>
              </a:extLst>
            </xdr:cNvPr>
            <xdr:cNvSpPr txBox="1"/>
          </xdr:nvSpPr>
          <xdr:spPr>
            <a:xfrm>
              <a:off x="4962525" y="5181600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24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400" b="1"/>
                <a:t> =</a:t>
              </a:r>
              <a:endParaRPr lang="en-CA" sz="1100" b="1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346C3178-BD72-43BF-A08F-D67E00C51E55}"/>
                </a:ext>
              </a:extLst>
            </xdr:cNvPr>
            <xdr:cNvSpPr txBox="1"/>
          </xdr:nvSpPr>
          <xdr:spPr>
            <a:xfrm>
              <a:off x="4962525" y="5181600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2400" b="1" i="0">
                  <a:latin typeface="Cambria Math" panose="02040503050406030204" pitchFamily="18" charset="0"/>
                </a:rPr>
                <a:t>𝒙^𝟐</a:t>
              </a:r>
              <a:r>
                <a:rPr lang="en-CA" sz="1400" b="1"/>
                <a:t> =</a:t>
              </a:r>
              <a:endParaRPr lang="en-CA" sz="1100" b="1"/>
            </a:p>
          </xdr:txBody>
        </xdr:sp>
      </mc:Fallback>
    </mc:AlternateContent>
    <xdr:clientData/>
  </xdr:oneCellAnchor>
  <xdr:oneCellAnchor>
    <xdr:from>
      <xdr:col>20</xdr:col>
      <xdr:colOff>231775</xdr:colOff>
      <xdr:row>7</xdr:row>
      <xdr:rowOff>15875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FFD4405-A82B-4EFE-832D-77BBE83812CA}"/>
                </a:ext>
              </a:extLst>
            </xdr:cNvPr>
            <xdr:cNvSpPr txBox="1"/>
          </xdr:nvSpPr>
          <xdr:spPr>
            <a:xfrm>
              <a:off x="16109950" y="23495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FFD4405-A82B-4EFE-832D-77BBE83812CA}"/>
                </a:ext>
              </a:extLst>
            </xdr:cNvPr>
            <xdr:cNvSpPr txBox="1"/>
          </xdr:nvSpPr>
          <xdr:spPr>
            <a:xfrm>
              <a:off x="16109950" y="23495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19</xdr:col>
      <xdr:colOff>85725</xdr:colOff>
      <xdr:row>10</xdr:row>
      <xdr:rowOff>266700</xdr:rowOff>
    </xdr:from>
    <xdr:ext cx="485775" cy="3524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841CF50-56C5-466C-99F3-E4D981B51F00}"/>
                </a:ext>
              </a:extLst>
            </xdr:cNvPr>
            <xdr:cNvSpPr txBox="1"/>
          </xdr:nvSpPr>
          <xdr:spPr>
            <a:xfrm>
              <a:off x="4962525" y="471487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24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24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400" b="1"/>
                <a:t> =</a:t>
              </a:r>
              <a:endParaRPr lang="en-CA" sz="1100" b="1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F841CF50-56C5-466C-99F3-E4D981B51F00}"/>
                </a:ext>
              </a:extLst>
            </xdr:cNvPr>
            <xdr:cNvSpPr txBox="1"/>
          </xdr:nvSpPr>
          <xdr:spPr>
            <a:xfrm>
              <a:off x="4962525" y="4714875"/>
              <a:ext cx="485775" cy="3524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2400" b="1" i="0">
                  <a:latin typeface="Cambria Math" panose="02040503050406030204" pitchFamily="18" charset="0"/>
                </a:rPr>
                <a:t>𝒙^𝟐</a:t>
              </a:r>
              <a:r>
                <a:rPr lang="en-CA" sz="1400" b="1"/>
                <a:t> =</a:t>
              </a:r>
              <a:endParaRPr lang="en-CA" sz="1100" b="1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165100</xdr:colOff>
      <xdr:row>7</xdr:row>
      <xdr:rowOff>25400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9C08634-C5A3-4842-A467-84FA9FBACE91}"/>
                </a:ext>
              </a:extLst>
            </xdr:cNvPr>
            <xdr:cNvSpPr txBox="1"/>
          </xdr:nvSpPr>
          <xdr:spPr>
            <a:xfrm>
              <a:off x="5346700" y="203517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9C08634-C5A3-4842-A467-84FA9FBACE91}"/>
                </a:ext>
              </a:extLst>
            </xdr:cNvPr>
            <xdr:cNvSpPr txBox="1"/>
          </xdr:nvSpPr>
          <xdr:spPr>
            <a:xfrm>
              <a:off x="5346700" y="203517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21</xdr:col>
      <xdr:colOff>136525</xdr:colOff>
      <xdr:row>7</xdr:row>
      <xdr:rowOff>6350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A4CAEE5-DFC0-449E-9736-E1B6A7CCF5A4}"/>
                </a:ext>
              </a:extLst>
            </xdr:cNvPr>
            <xdr:cNvSpPr txBox="1"/>
          </xdr:nvSpPr>
          <xdr:spPr>
            <a:xfrm>
              <a:off x="12785725" y="201612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A4CAEE5-DFC0-449E-9736-E1B6A7CCF5A4}"/>
                </a:ext>
              </a:extLst>
            </xdr:cNvPr>
            <xdr:cNvSpPr txBox="1"/>
          </xdr:nvSpPr>
          <xdr:spPr>
            <a:xfrm>
              <a:off x="12785725" y="2016125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10</xdr:col>
      <xdr:colOff>114300</xdr:colOff>
      <xdr:row>17</xdr:row>
      <xdr:rowOff>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9FC704A-ED0D-4AEF-B082-B5575126A2FB}"/>
                </a:ext>
              </a:extLst>
            </xdr:cNvPr>
            <xdr:cNvSpPr txBox="1"/>
          </xdr:nvSpPr>
          <xdr:spPr>
            <a:xfrm>
              <a:off x="5867400" y="44196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D9FC704A-ED0D-4AEF-B082-B5575126A2FB}"/>
                </a:ext>
              </a:extLst>
            </xdr:cNvPr>
            <xdr:cNvSpPr txBox="1"/>
          </xdr:nvSpPr>
          <xdr:spPr>
            <a:xfrm>
              <a:off x="5867400" y="44196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  <xdr:oneCellAnchor>
    <xdr:from>
      <xdr:col>22</xdr:col>
      <xdr:colOff>123825</xdr:colOff>
      <xdr:row>12</xdr:row>
      <xdr:rowOff>209550</xdr:rowOff>
    </xdr:from>
    <xdr:ext cx="415925" cy="349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45E25EE8-509D-469F-9360-BD3DC4ECBFA0}"/>
                </a:ext>
              </a:extLst>
            </xdr:cNvPr>
            <xdr:cNvSpPr txBox="1"/>
          </xdr:nvSpPr>
          <xdr:spPr>
            <a:xfrm>
              <a:off x="12773025" y="34671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CA" sz="1800" b="1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𝒙</m:t>
                      </m:r>
                    </m:e>
                    <m:sup>
                      <m:r>
                        <a:rPr lang="en-CA" sz="1800" b="1" i="1">
                          <a:latin typeface="Cambria Math" panose="02040503050406030204" pitchFamily="18" charset="0"/>
                        </a:rPr>
                        <m:t>𝟐</m:t>
                      </m:r>
                    </m:sup>
                  </m:sSup>
                </m:oMath>
              </a14:m>
              <a:r>
                <a:rPr lang="en-CA" sz="1100" b="1"/>
                <a:t> =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45E25EE8-509D-469F-9360-BD3DC4ECBFA0}"/>
                </a:ext>
              </a:extLst>
            </xdr:cNvPr>
            <xdr:cNvSpPr txBox="1"/>
          </xdr:nvSpPr>
          <xdr:spPr>
            <a:xfrm>
              <a:off x="12773025" y="3467100"/>
              <a:ext cx="415925" cy="349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CA" sz="1800" b="1" i="0">
                  <a:latin typeface="Cambria Math" panose="02040503050406030204" pitchFamily="18" charset="0"/>
                </a:rPr>
                <a:t>𝒙^𝟐</a:t>
              </a:r>
              <a:r>
                <a:rPr lang="en-CA" sz="1100" b="1"/>
                <a:t> =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20</xdr:row>
      <xdr:rowOff>0</xdr:rowOff>
    </xdr:from>
    <xdr:to>
      <xdr:col>11</xdr:col>
      <xdr:colOff>57150</xdr:colOff>
      <xdr:row>21</xdr:row>
      <xdr:rowOff>73025</xdr:rowOff>
    </xdr:to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A1B09E1C-E7BE-4B8A-9184-B45E7999BE07}"/>
            </a:ext>
          </a:extLst>
        </xdr:cNvPr>
        <xdr:cNvSpPr>
          <a:spLocks noChangeAspect="1" noChangeArrowheads="1"/>
        </xdr:cNvSpPr>
      </xdr:nvSpPr>
      <xdr:spPr bwMode="auto">
        <a:xfrm>
          <a:off x="7086600" y="85534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73025</xdr:rowOff>
    </xdr:to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4579383C-AD04-45EA-A378-8CC9E3178527}"/>
            </a:ext>
          </a:extLst>
        </xdr:cNvPr>
        <xdr:cNvSpPr>
          <a:spLocks noChangeAspect="1" noChangeArrowheads="1"/>
        </xdr:cNvSpPr>
      </xdr:nvSpPr>
      <xdr:spPr bwMode="auto">
        <a:xfrm>
          <a:off x="180975" y="85534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73025</xdr:rowOff>
    </xdr:to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6D78304D-8C74-4C61-BF3B-F240F590DAB8}"/>
            </a:ext>
          </a:extLst>
        </xdr:cNvPr>
        <xdr:cNvSpPr>
          <a:spLocks noChangeAspect="1" noChangeArrowheads="1"/>
        </xdr:cNvSpPr>
      </xdr:nvSpPr>
      <xdr:spPr bwMode="auto">
        <a:xfrm>
          <a:off x="180975" y="85534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304800</xdr:colOff>
      <xdr:row>27</xdr:row>
      <xdr:rowOff>73025</xdr:rowOff>
    </xdr:to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7C006AF5-596D-4610-B82F-E83CA6C18DCD}"/>
            </a:ext>
          </a:extLst>
        </xdr:cNvPr>
        <xdr:cNvSpPr>
          <a:spLocks noChangeAspect="1" noChangeArrowheads="1"/>
        </xdr:cNvSpPr>
      </xdr:nvSpPr>
      <xdr:spPr bwMode="auto">
        <a:xfrm>
          <a:off x="180975" y="85534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18</xdr:row>
      <xdr:rowOff>66675</xdr:rowOff>
    </xdr:from>
    <xdr:to>
      <xdr:col>11</xdr:col>
      <xdr:colOff>304800</xdr:colOff>
      <xdr:row>19</xdr:row>
      <xdr:rowOff>139700</xdr:rowOff>
    </xdr:to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556A8F4E-FE9A-4D23-942D-2677CC5CDB15}"/>
            </a:ext>
          </a:extLst>
        </xdr:cNvPr>
        <xdr:cNvSpPr>
          <a:spLocks noChangeAspect="1" noChangeArrowheads="1"/>
        </xdr:cNvSpPr>
      </xdr:nvSpPr>
      <xdr:spPr bwMode="auto">
        <a:xfrm>
          <a:off x="9086850" y="819150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23</xdr:col>
      <xdr:colOff>361950</xdr:colOff>
      <xdr:row>20</xdr:row>
      <xdr:rowOff>0</xdr:rowOff>
    </xdr:from>
    <xdr:ext cx="304800" cy="311150"/>
    <xdr:sp macro="" textlink="">
      <xdr:nvSpPr>
        <xdr:cNvPr id="7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8E8C2C6C-1317-4B57-9FED-4A9B0CE78B30}"/>
            </a:ext>
          </a:extLst>
        </xdr:cNvPr>
        <xdr:cNvSpPr>
          <a:spLocks noChangeAspect="1" noChangeArrowheads="1"/>
        </xdr:cNvSpPr>
      </xdr:nvSpPr>
      <xdr:spPr bwMode="auto">
        <a:xfrm>
          <a:off x="7086600" y="48101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304800" cy="311150"/>
    <xdr:sp macro="" textlink="">
      <xdr:nvSpPr>
        <xdr:cNvPr id="8" name="AutoShape 8" descr="{\textstyle O_{i}\geq 0}">
          <a:extLst>
            <a:ext uri="{FF2B5EF4-FFF2-40B4-BE49-F238E27FC236}">
              <a16:creationId xmlns:a16="http://schemas.microsoft.com/office/drawing/2014/main" id="{BE969D83-EAA4-4930-9CD3-E7EDE8256222}"/>
            </a:ext>
          </a:extLst>
        </xdr:cNvPr>
        <xdr:cNvSpPr>
          <a:spLocks noChangeAspect="1" noChangeArrowheads="1"/>
        </xdr:cNvSpPr>
      </xdr:nvSpPr>
      <xdr:spPr bwMode="auto">
        <a:xfrm>
          <a:off x="1809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304800" cy="311150"/>
    <xdr:sp macro="" textlink="">
      <xdr:nvSpPr>
        <xdr:cNvPr id="9" name="AutoShape 9" descr="{\textstyle E_{i}&gt;0}">
          <a:extLst>
            <a:ext uri="{FF2B5EF4-FFF2-40B4-BE49-F238E27FC236}">
              <a16:creationId xmlns:a16="http://schemas.microsoft.com/office/drawing/2014/main" id="{21E58907-240C-41F9-B74A-5347D1AFBA8B}"/>
            </a:ext>
          </a:extLst>
        </xdr:cNvPr>
        <xdr:cNvSpPr>
          <a:spLocks noChangeAspect="1" noChangeArrowheads="1"/>
        </xdr:cNvSpPr>
      </xdr:nvSpPr>
      <xdr:spPr bwMode="auto">
        <a:xfrm>
          <a:off x="1809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26</xdr:row>
      <xdr:rowOff>0</xdr:rowOff>
    </xdr:from>
    <xdr:ext cx="304800" cy="311150"/>
    <xdr:sp macro="" textlink="">
      <xdr:nvSpPr>
        <xdr:cNvPr id="10" name="AutoShape 10" descr="{\textstyle \ln }">
          <a:extLst>
            <a:ext uri="{FF2B5EF4-FFF2-40B4-BE49-F238E27FC236}">
              <a16:creationId xmlns:a16="http://schemas.microsoft.com/office/drawing/2014/main" id="{440DEB9C-7F93-40D9-9B2A-2FBCCCF40D86}"/>
            </a:ext>
          </a:extLst>
        </xdr:cNvPr>
        <xdr:cNvSpPr>
          <a:spLocks noChangeAspect="1" noChangeArrowheads="1"/>
        </xdr:cNvSpPr>
      </xdr:nvSpPr>
      <xdr:spPr bwMode="auto">
        <a:xfrm>
          <a:off x="1809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0</xdr:colOff>
      <xdr:row>18</xdr:row>
      <xdr:rowOff>66675</xdr:rowOff>
    </xdr:from>
    <xdr:ext cx="304800" cy="311150"/>
    <xdr:sp macro="" textlink="">
      <xdr:nvSpPr>
        <xdr:cNvPr id="11" name="AutoShape 11" descr="{\displaystyle \sum _{i}O_{i}=\sum _{i}E_{i}=N}">
          <a:extLst>
            <a:ext uri="{FF2B5EF4-FFF2-40B4-BE49-F238E27FC236}">
              <a16:creationId xmlns:a16="http://schemas.microsoft.com/office/drawing/2014/main" id="{67BFA884-7195-43E5-B0EB-FA56BFBC5D17}"/>
            </a:ext>
          </a:extLst>
        </xdr:cNvPr>
        <xdr:cNvSpPr>
          <a:spLocks noChangeAspect="1" noChangeArrowheads="1"/>
        </xdr:cNvSpPr>
      </xdr:nvSpPr>
      <xdr:spPr bwMode="auto">
        <a:xfrm>
          <a:off x="7334250" y="4400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36</xdr:col>
      <xdr:colOff>361950</xdr:colOff>
      <xdr:row>20</xdr:row>
      <xdr:rowOff>0</xdr:rowOff>
    </xdr:from>
    <xdr:ext cx="304800" cy="311150"/>
    <xdr:sp macro="" textlink="">
      <xdr:nvSpPr>
        <xdr:cNvPr id="1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424FCBCA-A2F2-482E-B516-7BBBBAD579B5}"/>
            </a:ext>
          </a:extLst>
        </xdr:cNvPr>
        <xdr:cNvSpPr>
          <a:spLocks noChangeAspect="1" noChangeArrowheads="1"/>
        </xdr:cNvSpPr>
      </xdr:nvSpPr>
      <xdr:spPr bwMode="auto">
        <a:xfrm>
          <a:off x="16040100" y="48101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58</xdr:row>
      <xdr:rowOff>0</xdr:rowOff>
    </xdr:from>
    <xdr:ext cx="304800" cy="311150"/>
    <xdr:sp macro="" textlink="">
      <xdr:nvSpPr>
        <xdr:cNvPr id="13" name="AutoShape 8" descr="{\textstyle O_{i}\geq 0}">
          <a:extLst>
            <a:ext uri="{FF2B5EF4-FFF2-40B4-BE49-F238E27FC236}">
              <a16:creationId xmlns:a16="http://schemas.microsoft.com/office/drawing/2014/main" id="{08E3B979-4A59-402C-8272-C870F9E224DE}"/>
            </a:ext>
          </a:extLst>
        </xdr:cNvPr>
        <xdr:cNvSpPr>
          <a:spLocks noChangeAspect="1" noChangeArrowheads="1"/>
        </xdr:cNvSpPr>
      </xdr:nvSpPr>
      <xdr:spPr bwMode="auto">
        <a:xfrm>
          <a:off x="91344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58</xdr:row>
      <xdr:rowOff>0</xdr:rowOff>
    </xdr:from>
    <xdr:ext cx="304800" cy="311150"/>
    <xdr:sp macro="" textlink="">
      <xdr:nvSpPr>
        <xdr:cNvPr id="14" name="AutoShape 9" descr="{\textstyle E_{i}&gt;0}">
          <a:extLst>
            <a:ext uri="{FF2B5EF4-FFF2-40B4-BE49-F238E27FC236}">
              <a16:creationId xmlns:a16="http://schemas.microsoft.com/office/drawing/2014/main" id="{366000DD-60F7-453E-BB89-6494B5761CB7}"/>
            </a:ext>
          </a:extLst>
        </xdr:cNvPr>
        <xdr:cNvSpPr>
          <a:spLocks noChangeAspect="1" noChangeArrowheads="1"/>
        </xdr:cNvSpPr>
      </xdr:nvSpPr>
      <xdr:spPr bwMode="auto">
        <a:xfrm>
          <a:off x="91344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58</xdr:row>
      <xdr:rowOff>0</xdr:rowOff>
    </xdr:from>
    <xdr:ext cx="304800" cy="311150"/>
    <xdr:sp macro="" textlink="">
      <xdr:nvSpPr>
        <xdr:cNvPr id="15" name="AutoShape 10" descr="{\textstyle \ln }">
          <a:extLst>
            <a:ext uri="{FF2B5EF4-FFF2-40B4-BE49-F238E27FC236}">
              <a16:creationId xmlns:a16="http://schemas.microsoft.com/office/drawing/2014/main" id="{E7F17A5C-E0D2-46EC-824B-6557212E3304}"/>
            </a:ext>
          </a:extLst>
        </xdr:cNvPr>
        <xdr:cNvSpPr>
          <a:spLocks noChangeAspect="1" noChangeArrowheads="1"/>
        </xdr:cNvSpPr>
      </xdr:nvSpPr>
      <xdr:spPr bwMode="auto">
        <a:xfrm>
          <a:off x="9134475" y="6238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18</xdr:row>
      <xdr:rowOff>66675</xdr:rowOff>
    </xdr:from>
    <xdr:ext cx="304800" cy="311150"/>
    <xdr:sp macro="" textlink="">
      <xdr:nvSpPr>
        <xdr:cNvPr id="16" name="AutoShape 11" descr="{\displaystyle \sum _{i}O_{i}=\sum _{i}E_{i}=N}">
          <a:extLst>
            <a:ext uri="{FF2B5EF4-FFF2-40B4-BE49-F238E27FC236}">
              <a16:creationId xmlns:a16="http://schemas.microsoft.com/office/drawing/2014/main" id="{BD541CA8-660A-486B-A875-6CEEEFBE5293}"/>
            </a:ext>
          </a:extLst>
        </xdr:cNvPr>
        <xdr:cNvSpPr>
          <a:spLocks noChangeAspect="1" noChangeArrowheads="1"/>
        </xdr:cNvSpPr>
      </xdr:nvSpPr>
      <xdr:spPr bwMode="auto">
        <a:xfrm>
          <a:off x="16287750" y="4400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361950</xdr:colOff>
      <xdr:row>45</xdr:row>
      <xdr:rowOff>0</xdr:rowOff>
    </xdr:from>
    <xdr:ext cx="304800" cy="311150"/>
    <xdr:sp macro="" textlink="">
      <xdr:nvSpPr>
        <xdr:cNvPr id="17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F13F1119-B8B1-4B8E-9F88-A16FF225875A}"/>
            </a:ext>
          </a:extLst>
        </xdr:cNvPr>
        <xdr:cNvSpPr>
          <a:spLocks noChangeAspect="1" noChangeArrowheads="1"/>
        </xdr:cNvSpPr>
      </xdr:nvSpPr>
      <xdr:spPr bwMode="auto">
        <a:xfrm>
          <a:off x="25574625" y="48101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29</xdr:col>
      <xdr:colOff>0</xdr:colOff>
      <xdr:row>45</xdr:row>
      <xdr:rowOff>0</xdr:rowOff>
    </xdr:from>
    <xdr:ext cx="304800" cy="311150"/>
    <xdr:sp macro="" textlink="">
      <xdr:nvSpPr>
        <xdr:cNvPr id="18" name="AutoShape 11" descr="{\displaystyle \sum _{i}O_{i}=\sum _{i}E_{i}=N}">
          <a:extLst>
            <a:ext uri="{FF2B5EF4-FFF2-40B4-BE49-F238E27FC236}">
              <a16:creationId xmlns:a16="http://schemas.microsoft.com/office/drawing/2014/main" id="{D27BC315-F0B1-4AD7-92B4-16BBD44CB7D0}"/>
            </a:ext>
          </a:extLst>
        </xdr:cNvPr>
        <xdr:cNvSpPr>
          <a:spLocks noChangeAspect="1" noChangeArrowheads="1"/>
        </xdr:cNvSpPr>
      </xdr:nvSpPr>
      <xdr:spPr bwMode="auto">
        <a:xfrm>
          <a:off x="25822275" y="44005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30</xdr:row>
      <xdr:rowOff>0</xdr:rowOff>
    </xdr:from>
    <xdr:ext cx="304800" cy="311150"/>
    <xdr:sp macro="" textlink="">
      <xdr:nvSpPr>
        <xdr:cNvPr id="19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C922D72A-349E-41C7-971B-86BDDF93CE2A}"/>
            </a:ext>
          </a:extLst>
        </xdr:cNvPr>
        <xdr:cNvSpPr>
          <a:spLocks noChangeAspect="1" noChangeArrowheads="1"/>
        </xdr:cNvSpPr>
      </xdr:nvSpPr>
      <xdr:spPr bwMode="auto">
        <a:xfrm>
          <a:off x="19030950" y="125253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28</xdr:row>
      <xdr:rowOff>66675</xdr:rowOff>
    </xdr:from>
    <xdr:ext cx="304800" cy="311150"/>
    <xdr:sp macro="" textlink="">
      <xdr:nvSpPr>
        <xdr:cNvPr id="20" name="AutoShape 11" descr="{\displaystyle \sum _{i}O_{i}=\sum _{i}E_{i}=N}">
          <a:extLst>
            <a:ext uri="{FF2B5EF4-FFF2-40B4-BE49-F238E27FC236}">
              <a16:creationId xmlns:a16="http://schemas.microsoft.com/office/drawing/2014/main" id="{9C65EA33-A61A-4017-A8BA-F52CB881F461}"/>
            </a:ext>
          </a:extLst>
        </xdr:cNvPr>
        <xdr:cNvSpPr>
          <a:spLocks noChangeAspect="1" noChangeArrowheads="1"/>
        </xdr:cNvSpPr>
      </xdr:nvSpPr>
      <xdr:spPr bwMode="auto">
        <a:xfrm>
          <a:off x="19516725" y="122110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28</xdr:col>
      <xdr:colOff>0</xdr:colOff>
      <xdr:row>45</xdr:row>
      <xdr:rowOff>0</xdr:rowOff>
    </xdr:from>
    <xdr:ext cx="304800" cy="311150"/>
    <xdr:sp macro="" textlink="">
      <xdr:nvSpPr>
        <xdr:cNvPr id="23" name="AutoShape 11" descr="{\displaystyle \sum _{i}O_{i}=\sum _{i}E_{i}=N}">
          <a:extLst>
            <a:ext uri="{FF2B5EF4-FFF2-40B4-BE49-F238E27FC236}">
              <a16:creationId xmlns:a16="http://schemas.microsoft.com/office/drawing/2014/main" id="{7B866132-1C3A-402E-A279-358D67ABF085}"/>
            </a:ext>
          </a:extLst>
        </xdr:cNvPr>
        <xdr:cNvSpPr>
          <a:spLocks noChangeAspect="1" noChangeArrowheads="1"/>
        </xdr:cNvSpPr>
      </xdr:nvSpPr>
      <xdr:spPr bwMode="auto">
        <a:xfrm>
          <a:off x="19516725" y="107632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361950</xdr:colOff>
      <xdr:row>50</xdr:row>
      <xdr:rowOff>0</xdr:rowOff>
    </xdr:from>
    <xdr:to>
      <xdr:col>11</xdr:col>
      <xdr:colOff>57150</xdr:colOff>
      <xdr:row>51</xdr:row>
      <xdr:rowOff>73025</xdr:rowOff>
    </xdr:to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B5179D30-FB7D-4665-922E-D7CC4FEC488A}"/>
            </a:ext>
          </a:extLst>
        </xdr:cNvPr>
        <xdr:cNvSpPr>
          <a:spLocks noChangeAspect="1" noChangeArrowheads="1"/>
        </xdr:cNvSpPr>
      </xdr:nvSpPr>
      <xdr:spPr bwMode="auto">
        <a:xfrm>
          <a:off x="7086600" y="11953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73025</xdr:rowOff>
    </xdr:to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C3BAF43D-1099-44F8-9FFA-C3D50A3B9DED}"/>
            </a:ext>
          </a:extLst>
        </xdr:cNvPr>
        <xdr:cNvSpPr>
          <a:spLocks noChangeAspect="1" noChangeArrowheads="1"/>
        </xdr:cNvSpPr>
      </xdr:nvSpPr>
      <xdr:spPr bwMode="auto">
        <a:xfrm>
          <a:off x="180975" y="133826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73025</xdr:rowOff>
    </xdr:to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859A3283-2956-44D0-82CC-BAF592A8A7B3}"/>
            </a:ext>
          </a:extLst>
        </xdr:cNvPr>
        <xdr:cNvSpPr>
          <a:spLocks noChangeAspect="1" noChangeArrowheads="1"/>
        </xdr:cNvSpPr>
      </xdr:nvSpPr>
      <xdr:spPr bwMode="auto">
        <a:xfrm>
          <a:off x="180975" y="133826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73025</xdr:rowOff>
    </xdr:to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81447597-530D-4D11-B5E0-266DAD01FC9A}"/>
            </a:ext>
          </a:extLst>
        </xdr:cNvPr>
        <xdr:cNvSpPr>
          <a:spLocks noChangeAspect="1" noChangeArrowheads="1"/>
        </xdr:cNvSpPr>
      </xdr:nvSpPr>
      <xdr:spPr bwMode="auto">
        <a:xfrm>
          <a:off x="180975" y="1338262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533400</xdr:colOff>
      <xdr:row>48</xdr:row>
      <xdr:rowOff>66675</xdr:rowOff>
    </xdr:from>
    <xdr:to>
      <xdr:col>14</xdr:col>
      <xdr:colOff>228600</xdr:colOff>
      <xdr:row>49</xdr:row>
      <xdr:rowOff>139700</xdr:rowOff>
    </xdr:to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4EECE707-040B-4510-B1B0-DC064A6ADA0F}"/>
            </a:ext>
          </a:extLst>
        </xdr:cNvPr>
        <xdr:cNvSpPr>
          <a:spLocks noChangeAspect="1" noChangeArrowheads="1"/>
        </xdr:cNvSpPr>
      </xdr:nvSpPr>
      <xdr:spPr bwMode="auto">
        <a:xfrm>
          <a:off x="9086850" y="1154430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342900</xdr:colOff>
      <xdr:row>50</xdr:row>
      <xdr:rowOff>0</xdr:rowOff>
    </xdr:from>
    <xdr:ext cx="304800" cy="311150"/>
    <xdr:sp macro="" textlink="">
      <xdr:nvSpPr>
        <xdr:cNvPr id="7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81C200F7-F819-4FE1-8626-79FFF73C508B}"/>
            </a:ext>
          </a:extLst>
        </xdr:cNvPr>
        <xdr:cNvSpPr>
          <a:spLocks noChangeAspect="1" noChangeArrowheads="1"/>
        </xdr:cNvSpPr>
      </xdr:nvSpPr>
      <xdr:spPr bwMode="auto">
        <a:xfrm>
          <a:off x="8286750" y="11953875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51</xdr:row>
      <xdr:rowOff>6350</xdr:rowOff>
    </xdr:to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5528FB09-1906-41DE-BEC7-88C6542341B0}"/>
            </a:ext>
          </a:extLst>
        </xdr:cNvPr>
        <xdr:cNvSpPr>
          <a:spLocks noChangeAspect="1" noChangeArrowheads="1"/>
        </xdr:cNvSpPr>
      </xdr:nvSpPr>
      <xdr:spPr bwMode="auto">
        <a:xfrm>
          <a:off x="7086600" y="116776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51</xdr:row>
      <xdr:rowOff>6350</xdr:rowOff>
    </xdr:to>
    <xdr:sp macro="" textlink="">
      <xdr:nvSpPr>
        <xdr:cNvPr id="3" name="AutoShape 8" descr="{\textstyle O_{i}\geq 0}">
          <a:extLst>
            <a:ext uri="{FF2B5EF4-FFF2-40B4-BE49-F238E27FC236}">
              <a16:creationId xmlns:a16="http://schemas.microsoft.com/office/drawing/2014/main" id="{79424814-26E3-4D0A-A5A8-21E181B295E3}"/>
            </a:ext>
          </a:extLst>
        </xdr:cNvPr>
        <xdr:cNvSpPr>
          <a:spLocks noChangeAspect="1" noChangeArrowheads="1"/>
        </xdr:cNvSpPr>
      </xdr:nvSpPr>
      <xdr:spPr bwMode="auto">
        <a:xfrm>
          <a:off x="180975" y="116776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51</xdr:row>
      <xdr:rowOff>6350</xdr:rowOff>
    </xdr:to>
    <xdr:sp macro="" textlink="">
      <xdr:nvSpPr>
        <xdr:cNvPr id="4" name="AutoShape 9" descr="{\textstyle E_{i}&gt;0}">
          <a:extLst>
            <a:ext uri="{FF2B5EF4-FFF2-40B4-BE49-F238E27FC236}">
              <a16:creationId xmlns:a16="http://schemas.microsoft.com/office/drawing/2014/main" id="{D82D69FC-9E3B-411C-A18D-39B26EED7C35}"/>
            </a:ext>
          </a:extLst>
        </xdr:cNvPr>
        <xdr:cNvSpPr>
          <a:spLocks noChangeAspect="1" noChangeArrowheads="1"/>
        </xdr:cNvSpPr>
      </xdr:nvSpPr>
      <xdr:spPr bwMode="auto">
        <a:xfrm>
          <a:off x="180975" y="116776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51</xdr:row>
      <xdr:rowOff>6350</xdr:rowOff>
    </xdr:to>
    <xdr:sp macro="" textlink="">
      <xdr:nvSpPr>
        <xdr:cNvPr id="5" name="AutoShape 10" descr="{\textstyle \ln }">
          <a:extLst>
            <a:ext uri="{FF2B5EF4-FFF2-40B4-BE49-F238E27FC236}">
              <a16:creationId xmlns:a16="http://schemas.microsoft.com/office/drawing/2014/main" id="{0F3836F1-2E56-4796-83B2-0B9CDAC1A1BB}"/>
            </a:ext>
          </a:extLst>
        </xdr:cNvPr>
        <xdr:cNvSpPr>
          <a:spLocks noChangeAspect="1" noChangeArrowheads="1"/>
        </xdr:cNvSpPr>
      </xdr:nvSpPr>
      <xdr:spPr bwMode="auto">
        <a:xfrm>
          <a:off x="180975" y="1167765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47</xdr:row>
      <xdr:rowOff>66675</xdr:rowOff>
    </xdr:from>
    <xdr:to>
      <xdr:col>1</xdr:col>
      <xdr:colOff>304800</xdr:colOff>
      <xdr:row>49</xdr:row>
      <xdr:rowOff>73025</xdr:rowOff>
    </xdr:to>
    <xdr:sp macro="" textlink="">
      <xdr:nvSpPr>
        <xdr:cNvPr id="6" name="AutoShape 11" descr="{\displaystyle \sum _{i}O_{i}=\sum _{i}E_{i}=N}">
          <a:extLst>
            <a:ext uri="{FF2B5EF4-FFF2-40B4-BE49-F238E27FC236}">
              <a16:creationId xmlns:a16="http://schemas.microsoft.com/office/drawing/2014/main" id="{C16BFF30-3FDC-41D6-94EF-F31E29AEBFF9}"/>
            </a:ext>
          </a:extLst>
        </xdr:cNvPr>
        <xdr:cNvSpPr>
          <a:spLocks noChangeAspect="1" noChangeArrowheads="1"/>
        </xdr:cNvSpPr>
      </xdr:nvSpPr>
      <xdr:spPr bwMode="auto">
        <a:xfrm>
          <a:off x="9086850" y="1131570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14286</xdr:colOff>
      <xdr:row>2</xdr:row>
      <xdr:rowOff>85725</xdr:rowOff>
    </xdr:from>
    <xdr:to>
      <xdr:col>12</xdr:col>
      <xdr:colOff>590549</xdr:colOff>
      <xdr:row>28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99FBB8-D14A-4108-A740-743B8FFA6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2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1D012419-4666-4035-9B07-DB88B0E988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443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3" name="AutoShape 9" descr="{\textstyle E_{i}&gt;0}">
          <a:extLst>
            <a:ext uri="{FF2B5EF4-FFF2-40B4-BE49-F238E27FC236}">
              <a16:creationId xmlns:a16="http://schemas.microsoft.com/office/drawing/2014/main" id="{B59480AA-B588-439F-B142-4F09A23BEA9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4" name="AutoShape 10" descr="{\textstyle \ln }">
          <a:extLst>
            <a:ext uri="{FF2B5EF4-FFF2-40B4-BE49-F238E27FC236}">
              <a16:creationId xmlns:a16="http://schemas.microsoft.com/office/drawing/2014/main" id="{3AB528A2-661B-4A47-9ECA-4B5B4A99C1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5" name="AutoShape 11" descr="{\displaystyle \sum _{i}O_{i}=\sum _{i}E_{i}=N}">
          <a:extLst>
            <a:ext uri="{FF2B5EF4-FFF2-40B4-BE49-F238E27FC236}">
              <a16:creationId xmlns:a16="http://schemas.microsoft.com/office/drawing/2014/main" id="{65F4EADE-8322-436D-B02D-5311FA1871E8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6" name="AutoShape 12" descr="{\textstyle N}">
          <a:extLst>
            <a:ext uri="{FF2B5EF4-FFF2-40B4-BE49-F238E27FC236}">
              <a16:creationId xmlns:a16="http://schemas.microsoft.com/office/drawing/2014/main" id="{4E96030C-1580-4BFE-85DF-CD97080DA7B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74650"/>
    <xdr:sp macro="" textlink="">
      <xdr:nvSpPr>
        <xdr:cNvPr id="7" name="AutoShape 8" descr="{\textstyle O_{i}\geq 0}">
          <a:extLst>
            <a:ext uri="{FF2B5EF4-FFF2-40B4-BE49-F238E27FC236}">
              <a16:creationId xmlns:a16="http://schemas.microsoft.com/office/drawing/2014/main" id="{2AF3FB65-C457-4D4C-92E7-D64A6AB30BA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285750</xdr:colOff>
      <xdr:row>23</xdr:row>
      <xdr:rowOff>0</xdr:rowOff>
    </xdr:from>
    <xdr:ext cx="304800" cy="374650"/>
    <xdr:sp macro="" textlink="">
      <xdr:nvSpPr>
        <xdr:cNvPr id="8" name="AutoShape 9" descr="{\textstyle E_{i}&gt;0}">
          <a:extLst>
            <a:ext uri="{FF2B5EF4-FFF2-40B4-BE49-F238E27FC236}">
              <a16:creationId xmlns:a16="http://schemas.microsoft.com/office/drawing/2014/main" id="{E8744C34-9E3D-4769-B15F-C11702B5AC3F}"/>
            </a:ext>
          </a:extLst>
        </xdr:cNvPr>
        <xdr:cNvSpPr>
          <a:spLocks noChangeAspect="1" noChangeArrowheads="1"/>
        </xdr:cNvSpPr>
      </xdr:nvSpPr>
      <xdr:spPr bwMode="auto">
        <a:xfrm>
          <a:off x="89535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768350</xdr:colOff>
      <xdr:row>23</xdr:row>
      <xdr:rowOff>0</xdr:rowOff>
    </xdr:from>
    <xdr:ext cx="304800" cy="374650"/>
    <xdr:sp macro="" textlink="">
      <xdr:nvSpPr>
        <xdr:cNvPr id="9" name="AutoShape 10" descr="{\textstyle \ln }">
          <a:extLst>
            <a:ext uri="{FF2B5EF4-FFF2-40B4-BE49-F238E27FC236}">
              <a16:creationId xmlns:a16="http://schemas.microsoft.com/office/drawing/2014/main" id="{DFC8EE43-7074-4DB8-86F5-95DEF3A76BDE}"/>
            </a:ext>
          </a:extLst>
        </xdr:cNvPr>
        <xdr:cNvSpPr>
          <a:spLocks noChangeAspect="1" noChangeArrowheads="1"/>
        </xdr:cNvSpPr>
      </xdr:nvSpPr>
      <xdr:spPr bwMode="auto">
        <a:xfrm>
          <a:off x="404495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666750</xdr:colOff>
      <xdr:row>23</xdr:row>
      <xdr:rowOff>0</xdr:rowOff>
    </xdr:from>
    <xdr:ext cx="304800" cy="374650"/>
    <xdr:sp macro="" textlink="">
      <xdr:nvSpPr>
        <xdr:cNvPr id="10" name="AutoShape 12" descr="{\textstyle N}">
          <a:extLst>
            <a:ext uri="{FF2B5EF4-FFF2-40B4-BE49-F238E27FC236}">
              <a16:creationId xmlns:a16="http://schemas.microsoft.com/office/drawing/2014/main" id="{CB8D1945-1441-48C5-BEFD-CF3C8AB38F39}"/>
            </a:ext>
          </a:extLst>
        </xdr:cNvPr>
        <xdr:cNvSpPr>
          <a:spLocks noChangeAspect="1" noChangeArrowheads="1"/>
        </xdr:cNvSpPr>
      </xdr:nvSpPr>
      <xdr:spPr bwMode="auto">
        <a:xfrm>
          <a:off x="186690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11" name="AutoShape 9" descr="{\textstyle E_{i}&gt;0}">
          <a:extLst>
            <a:ext uri="{FF2B5EF4-FFF2-40B4-BE49-F238E27FC236}">
              <a16:creationId xmlns:a16="http://schemas.microsoft.com/office/drawing/2014/main" id="{E0BA000B-F11F-4437-99A4-3DD97E17D2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12" name="AutoShape 10" descr="{\textstyle \ln }">
          <a:extLst>
            <a:ext uri="{FF2B5EF4-FFF2-40B4-BE49-F238E27FC236}">
              <a16:creationId xmlns:a16="http://schemas.microsoft.com/office/drawing/2014/main" id="{6FF46C11-628B-42DD-9D34-41A50E0C1DF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13" name="AutoShape 11" descr="{\displaystyle \sum _{i}O_{i}=\sum _{i}E_{i}=N}">
          <a:extLst>
            <a:ext uri="{FF2B5EF4-FFF2-40B4-BE49-F238E27FC236}">
              <a16:creationId xmlns:a16="http://schemas.microsoft.com/office/drawing/2014/main" id="{14B9264A-3289-43BE-919A-DAB542A8F7A9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14" name="AutoShape 12" descr="{\textstyle N}">
          <a:extLst>
            <a:ext uri="{FF2B5EF4-FFF2-40B4-BE49-F238E27FC236}">
              <a16:creationId xmlns:a16="http://schemas.microsoft.com/office/drawing/2014/main" id="{E9755827-A419-4769-ADFA-6BC1EEDB464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74650"/>
    <xdr:sp macro="" textlink="">
      <xdr:nvSpPr>
        <xdr:cNvPr id="15" name="AutoShape 8" descr="{\textstyle O_{i}\geq 0}">
          <a:extLst>
            <a:ext uri="{FF2B5EF4-FFF2-40B4-BE49-F238E27FC236}">
              <a16:creationId xmlns:a16="http://schemas.microsoft.com/office/drawing/2014/main" id="{F9225895-540D-4B21-9BB6-CBC88A3DF9A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768350</xdr:colOff>
      <xdr:row>26</xdr:row>
      <xdr:rowOff>63500</xdr:rowOff>
    </xdr:from>
    <xdr:ext cx="304800" cy="374650"/>
    <xdr:sp macro="" textlink="">
      <xdr:nvSpPr>
        <xdr:cNvPr id="16" name="AutoShape 10" descr="{\textstyle \ln }">
          <a:extLst>
            <a:ext uri="{FF2B5EF4-FFF2-40B4-BE49-F238E27FC236}">
              <a16:creationId xmlns:a16="http://schemas.microsoft.com/office/drawing/2014/main" id="{EF4892B4-E900-4027-80FF-E61C247E748D}"/>
            </a:ext>
          </a:extLst>
        </xdr:cNvPr>
        <xdr:cNvSpPr>
          <a:spLocks noChangeAspect="1" noChangeArrowheads="1"/>
        </xdr:cNvSpPr>
      </xdr:nvSpPr>
      <xdr:spPr bwMode="auto">
        <a:xfrm>
          <a:off x="4044950" y="64928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666750</xdr:colOff>
      <xdr:row>23</xdr:row>
      <xdr:rowOff>0</xdr:rowOff>
    </xdr:from>
    <xdr:ext cx="304800" cy="374650"/>
    <xdr:sp macro="" textlink="">
      <xdr:nvSpPr>
        <xdr:cNvPr id="17" name="AutoShape 12" descr="{\textstyle N}">
          <a:extLst>
            <a:ext uri="{FF2B5EF4-FFF2-40B4-BE49-F238E27FC236}">
              <a16:creationId xmlns:a16="http://schemas.microsoft.com/office/drawing/2014/main" id="{D07291BC-709B-423A-B08D-A775BA611D4A}"/>
            </a:ext>
          </a:extLst>
        </xdr:cNvPr>
        <xdr:cNvSpPr>
          <a:spLocks noChangeAspect="1" noChangeArrowheads="1"/>
        </xdr:cNvSpPr>
      </xdr:nvSpPr>
      <xdr:spPr bwMode="auto">
        <a:xfrm>
          <a:off x="1866900" y="56864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22</xdr:row>
      <xdr:rowOff>63500</xdr:rowOff>
    </xdr:from>
    <xdr:ext cx="304800" cy="304800"/>
    <xdr:sp macro="" textlink="">
      <xdr:nvSpPr>
        <xdr:cNvPr id="18" name="AutoShape 8" descr="{\textstyle O_{i}\geq 0}">
          <a:extLst>
            <a:ext uri="{FF2B5EF4-FFF2-40B4-BE49-F238E27FC236}">
              <a16:creationId xmlns:a16="http://schemas.microsoft.com/office/drawing/2014/main" id="{4A8F9800-62CD-4014-B016-081D4099086E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550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18</xdr:row>
      <xdr:rowOff>0</xdr:rowOff>
    </xdr:from>
    <xdr:ext cx="304800" cy="304800"/>
    <xdr:sp macro="" textlink="">
      <xdr:nvSpPr>
        <xdr:cNvPr id="19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44D34637-5EA9-4EAC-8B42-EEE2B18DDF84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443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20" name="AutoShape 9" descr="{\textstyle E_{i}&gt;0}">
          <a:extLst>
            <a:ext uri="{FF2B5EF4-FFF2-40B4-BE49-F238E27FC236}">
              <a16:creationId xmlns:a16="http://schemas.microsoft.com/office/drawing/2014/main" id="{6A576C8A-4422-42F0-82E3-7B2DE8D5BDB6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21" name="AutoShape 10" descr="{\textstyle \ln }">
          <a:extLst>
            <a:ext uri="{FF2B5EF4-FFF2-40B4-BE49-F238E27FC236}">
              <a16:creationId xmlns:a16="http://schemas.microsoft.com/office/drawing/2014/main" id="{B2454D23-7EEB-4503-853F-2C3B73331A83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22" name="AutoShape 11" descr="{\displaystyle \sum _{i}O_{i}=\sum _{i}E_{i}=N}">
          <a:extLst>
            <a:ext uri="{FF2B5EF4-FFF2-40B4-BE49-F238E27FC236}">
              <a16:creationId xmlns:a16="http://schemas.microsoft.com/office/drawing/2014/main" id="{F8AB8CB6-B48B-4704-91E8-91C8EBD5DC6F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23" name="AutoShape 12" descr="{\textstyle N}">
          <a:extLst>
            <a:ext uri="{FF2B5EF4-FFF2-40B4-BE49-F238E27FC236}">
              <a16:creationId xmlns:a16="http://schemas.microsoft.com/office/drawing/2014/main" id="{515721C5-4647-4A02-9A21-9B258A70E0FD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361950</xdr:colOff>
      <xdr:row>26</xdr:row>
      <xdr:rowOff>0</xdr:rowOff>
    </xdr:from>
    <xdr:ext cx="304800" cy="444500"/>
    <xdr:sp macro="" textlink="">
      <xdr:nvSpPr>
        <xdr:cNvPr id="24" name="AutoShape 7" descr="G=2\sum _{{i}}{O_{{i}}\cdot \ln \left({\frac  {O_{i}}{E_{i}}}\right)},">
          <a:extLst>
            <a:ext uri="{FF2B5EF4-FFF2-40B4-BE49-F238E27FC236}">
              <a16:creationId xmlns:a16="http://schemas.microsoft.com/office/drawing/2014/main" id="{F5A4CB50-FE19-4B07-A5B1-22A17D413315}"/>
            </a:ext>
          </a:extLst>
        </xdr:cNvPr>
        <xdr:cNvSpPr>
          <a:spLocks noChangeAspect="1" noChangeArrowheads="1"/>
        </xdr:cNvSpPr>
      </xdr:nvSpPr>
      <xdr:spPr bwMode="auto">
        <a:xfrm>
          <a:off x="20526375" y="6429375"/>
          <a:ext cx="3048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74650"/>
    <xdr:sp macro="" textlink="">
      <xdr:nvSpPr>
        <xdr:cNvPr id="25" name="AutoShape 8" descr="{\textstyle O_{i}\geq 0}">
          <a:extLst>
            <a:ext uri="{FF2B5EF4-FFF2-40B4-BE49-F238E27FC236}">
              <a16:creationId xmlns:a16="http://schemas.microsoft.com/office/drawing/2014/main" id="{CE80B59C-7231-470F-A907-3AE24D54053C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285750</xdr:colOff>
      <xdr:row>26</xdr:row>
      <xdr:rowOff>0</xdr:rowOff>
    </xdr:from>
    <xdr:ext cx="304800" cy="374650"/>
    <xdr:sp macro="" textlink="">
      <xdr:nvSpPr>
        <xdr:cNvPr id="26" name="AutoShape 9" descr="{\textstyle E_{i}&gt;0}">
          <a:extLst>
            <a:ext uri="{FF2B5EF4-FFF2-40B4-BE49-F238E27FC236}">
              <a16:creationId xmlns:a16="http://schemas.microsoft.com/office/drawing/2014/main" id="{83C7595F-196B-4A3D-BB43-3A4981CD6487}"/>
            </a:ext>
          </a:extLst>
        </xdr:cNvPr>
        <xdr:cNvSpPr>
          <a:spLocks noChangeAspect="1" noChangeArrowheads="1"/>
        </xdr:cNvSpPr>
      </xdr:nvSpPr>
      <xdr:spPr bwMode="auto">
        <a:xfrm>
          <a:off x="13030200" y="64293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21</xdr:col>
      <xdr:colOff>666750</xdr:colOff>
      <xdr:row>26</xdr:row>
      <xdr:rowOff>0</xdr:rowOff>
    </xdr:from>
    <xdr:ext cx="304800" cy="374650"/>
    <xdr:sp macro="" textlink="">
      <xdr:nvSpPr>
        <xdr:cNvPr id="27" name="AutoShape 12" descr="{\textstyle N}">
          <a:extLst>
            <a:ext uri="{FF2B5EF4-FFF2-40B4-BE49-F238E27FC236}">
              <a16:creationId xmlns:a16="http://schemas.microsoft.com/office/drawing/2014/main" id="{4F1396FE-BCBD-4C66-9074-876CCD2F0326}"/>
            </a:ext>
          </a:extLst>
        </xdr:cNvPr>
        <xdr:cNvSpPr>
          <a:spLocks noChangeAspect="1" noChangeArrowheads="1"/>
        </xdr:cNvSpPr>
      </xdr:nvSpPr>
      <xdr:spPr bwMode="auto">
        <a:xfrm>
          <a:off x="14001750" y="64293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24</xdr:col>
      <xdr:colOff>768350</xdr:colOff>
      <xdr:row>22</xdr:row>
      <xdr:rowOff>0</xdr:rowOff>
    </xdr:from>
    <xdr:ext cx="304800" cy="374650"/>
    <xdr:sp macro="" textlink="">
      <xdr:nvSpPr>
        <xdr:cNvPr id="28" name="AutoShape 10" descr="{\textstyle \ln }">
          <a:extLst>
            <a:ext uri="{FF2B5EF4-FFF2-40B4-BE49-F238E27FC236}">
              <a16:creationId xmlns:a16="http://schemas.microsoft.com/office/drawing/2014/main" id="{F04C1C0D-663A-41A7-8079-A51C375E22EA}"/>
            </a:ext>
          </a:extLst>
        </xdr:cNvPr>
        <xdr:cNvSpPr>
          <a:spLocks noChangeAspect="1" noChangeArrowheads="1"/>
        </xdr:cNvSpPr>
      </xdr:nvSpPr>
      <xdr:spPr bwMode="auto">
        <a:xfrm>
          <a:off x="16179800" y="54387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29" name="AutoShape 9" descr="{\textstyle E_{i}&gt;0}">
          <a:extLst>
            <a:ext uri="{FF2B5EF4-FFF2-40B4-BE49-F238E27FC236}">
              <a16:creationId xmlns:a16="http://schemas.microsoft.com/office/drawing/2014/main" id="{0A3AC8A6-8F50-4B94-9CF5-CAA3403A18F0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30" name="AutoShape 10" descr="{\textstyle \ln }">
          <a:extLst>
            <a:ext uri="{FF2B5EF4-FFF2-40B4-BE49-F238E27FC236}">
              <a16:creationId xmlns:a16="http://schemas.microsoft.com/office/drawing/2014/main" id="{A3F527D0-F506-4EA0-8466-AC5F937A5625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31" name="AutoShape 11" descr="{\displaystyle \sum _{i}O_{i}=\sum _{i}E_{i}=N}">
          <a:extLst>
            <a:ext uri="{FF2B5EF4-FFF2-40B4-BE49-F238E27FC236}">
              <a16:creationId xmlns:a16="http://schemas.microsoft.com/office/drawing/2014/main" id="{2B9FC698-5C7A-42FD-A1BA-22516070327E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04800"/>
    <xdr:sp macro="" textlink="">
      <xdr:nvSpPr>
        <xdr:cNvPr id="32" name="AutoShape 12" descr="{\textstyle N}">
          <a:extLst>
            <a:ext uri="{FF2B5EF4-FFF2-40B4-BE49-F238E27FC236}">
              <a16:creationId xmlns:a16="http://schemas.microsoft.com/office/drawing/2014/main" id="{0CCB571B-4D94-46BD-BB94-20E15085E14C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74650"/>
    <xdr:sp macro="" textlink="">
      <xdr:nvSpPr>
        <xdr:cNvPr id="33" name="AutoShape 8" descr="{\textstyle O_{i}\geq 0}">
          <a:extLst>
            <a:ext uri="{FF2B5EF4-FFF2-40B4-BE49-F238E27FC236}">
              <a16:creationId xmlns:a16="http://schemas.microsoft.com/office/drawing/2014/main" id="{B1219A6C-A209-45E8-91B9-DA7D956BACEC}"/>
            </a:ext>
          </a:extLst>
        </xdr:cNvPr>
        <xdr:cNvSpPr>
          <a:spLocks noChangeAspect="1" noChangeArrowheads="1"/>
        </xdr:cNvSpPr>
      </xdr:nvSpPr>
      <xdr:spPr bwMode="auto">
        <a:xfrm>
          <a:off x="12744450" y="642937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23</xdr:row>
      <xdr:rowOff>0</xdr:rowOff>
    </xdr:from>
    <xdr:ext cx="304800" cy="304800"/>
    <xdr:sp macro="" textlink="">
      <xdr:nvSpPr>
        <xdr:cNvPr id="34" name="AutoShape 8" descr="{\textstyle O_{i}\geq 0}">
          <a:extLst>
            <a:ext uri="{FF2B5EF4-FFF2-40B4-BE49-F238E27FC236}">
              <a16:creationId xmlns:a16="http://schemas.microsoft.com/office/drawing/2014/main" id="{EEB267D8-3F36-49CF-8B82-C3A601F67B4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23</xdr:row>
      <xdr:rowOff>0</xdr:rowOff>
    </xdr:from>
    <xdr:ext cx="304800" cy="304800"/>
    <xdr:sp macro="" textlink="">
      <xdr:nvSpPr>
        <xdr:cNvPr id="35" name="AutoShape 8" descr="{\textstyle O_{i}\geq 0}">
          <a:extLst>
            <a:ext uri="{FF2B5EF4-FFF2-40B4-BE49-F238E27FC236}">
              <a16:creationId xmlns:a16="http://schemas.microsoft.com/office/drawing/2014/main" id="{F51F5932-5327-44BE-83B8-D28C0646016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568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24</xdr:row>
      <xdr:rowOff>63500</xdr:rowOff>
    </xdr:from>
    <xdr:ext cx="304800" cy="304800"/>
    <xdr:sp macro="" textlink="">
      <xdr:nvSpPr>
        <xdr:cNvPr id="36" name="AutoShape 8" descr="{\textstyle O_{i}\geq 0}">
          <a:extLst>
            <a:ext uri="{FF2B5EF4-FFF2-40B4-BE49-F238E27FC236}">
              <a16:creationId xmlns:a16="http://schemas.microsoft.com/office/drawing/2014/main" id="{8D1D4BF9-0795-44B8-BC76-4B7B8727425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599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25</xdr:row>
      <xdr:rowOff>63500</xdr:rowOff>
    </xdr:from>
    <xdr:ext cx="304800" cy="304800"/>
    <xdr:sp macro="" textlink="">
      <xdr:nvSpPr>
        <xdr:cNvPr id="37" name="AutoShape 8" descr="{\textstyle O_{i}\geq 0}">
          <a:extLst>
            <a:ext uri="{FF2B5EF4-FFF2-40B4-BE49-F238E27FC236}">
              <a16:creationId xmlns:a16="http://schemas.microsoft.com/office/drawing/2014/main" id="{CDDCCC24-BA26-49F0-AD84-05C0EF517942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624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26</xdr:row>
      <xdr:rowOff>63500</xdr:rowOff>
    </xdr:from>
    <xdr:ext cx="304800" cy="304800"/>
    <xdr:sp macro="" textlink="">
      <xdr:nvSpPr>
        <xdr:cNvPr id="38" name="AutoShape 8" descr="{\textstyle O_{i}\geq 0}">
          <a:extLst>
            <a:ext uri="{FF2B5EF4-FFF2-40B4-BE49-F238E27FC236}">
              <a16:creationId xmlns:a16="http://schemas.microsoft.com/office/drawing/2014/main" id="{D5795856-3132-470B-92BA-28DAD7BC6FA5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6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27</xdr:row>
      <xdr:rowOff>63500</xdr:rowOff>
    </xdr:from>
    <xdr:ext cx="304800" cy="304800"/>
    <xdr:sp macro="" textlink="">
      <xdr:nvSpPr>
        <xdr:cNvPr id="39" name="AutoShape 8" descr="{\textstyle O_{i}\geq 0}">
          <a:extLst>
            <a:ext uri="{FF2B5EF4-FFF2-40B4-BE49-F238E27FC236}">
              <a16:creationId xmlns:a16="http://schemas.microsoft.com/office/drawing/2014/main" id="{2658F024-9098-43A0-BF81-E260827C3598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674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28</xdr:row>
      <xdr:rowOff>63500</xdr:rowOff>
    </xdr:from>
    <xdr:ext cx="304800" cy="304800"/>
    <xdr:sp macro="" textlink="">
      <xdr:nvSpPr>
        <xdr:cNvPr id="40" name="AutoShape 8" descr="{\textstyle O_{i}\geq 0}">
          <a:extLst>
            <a:ext uri="{FF2B5EF4-FFF2-40B4-BE49-F238E27FC236}">
              <a16:creationId xmlns:a16="http://schemas.microsoft.com/office/drawing/2014/main" id="{6BF7BF54-8127-4EDA-975F-4AA4C0AC3E9D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698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501650</xdr:colOff>
      <xdr:row>29</xdr:row>
      <xdr:rowOff>63500</xdr:rowOff>
    </xdr:from>
    <xdr:ext cx="304800" cy="304800"/>
    <xdr:sp macro="" textlink="">
      <xdr:nvSpPr>
        <xdr:cNvPr id="41" name="AutoShape 8" descr="{\textstyle O_{i}\geq 0}">
          <a:extLst>
            <a:ext uri="{FF2B5EF4-FFF2-40B4-BE49-F238E27FC236}">
              <a16:creationId xmlns:a16="http://schemas.microsoft.com/office/drawing/2014/main" id="{0EF1E1D2-A24D-4E0A-AA2A-8CBCF7416A30}"/>
            </a:ext>
          </a:extLst>
        </xdr:cNvPr>
        <xdr:cNvSpPr>
          <a:spLocks noChangeAspect="1" noChangeArrowheads="1"/>
        </xdr:cNvSpPr>
      </xdr:nvSpPr>
      <xdr:spPr bwMode="auto">
        <a:xfrm>
          <a:off x="12636500" y="723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22</xdr:row>
      <xdr:rowOff>0</xdr:rowOff>
    </xdr:from>
    <xdr:ext cx="304800" cy="304800"/>
    <xdr:sp macro="" textlink="">
      <xdr:nvSpPr>
        <xdr:cNvPr id="42" name="AutoShape 8" descr="{\textstyle O_{i}\geq 0}">
          <a:extLst>
            <a:ext uri="{FF2B5EF4-FFF2-40B4-BE49-F238E27FC236}">
              <a16:creationId xmlns:a16="http://schemas.microsoft.com/office/drawing/2014/main" id="{AB99BF76-6EAF-4B1B-B472-28484A8BFC4B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543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22</xdr:row>
      <xdr:rowOff>63500</xdr:rowOff>
    </xdr:from>
    <xdr:ext cx="304800" cy="304800"/>
    <xdr:sp macro="" textlink="">
      <xdr:nvSpPr>
        <xdr:cNvPr id="43" name="AutoShape 8" descr="{\textstyle O_{i}\geq 0}">
          <a:extLst>
            <a:ext uri="{FF2B5EF4-FFF2-40B4-BE49-F238E27FC236}">
              <a16:creationId xmlns:a16="http://schemas.microsoft.com/office/drawing/2014/main" id="{477B96D9-B84E-4497-845B-BB7D30D5C06C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550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23</xdr:row>
      <xdr:rowOff>63500</xdr:rowOff>
    </xdr:from>
    <xdr:ext cx="304800" cy="304800"/>
    <xdr:sp macro="" textlink="">
      <xdr:nvSpPr>
        <xdr:cNvPr id="44" name="AutoShape 8" descr="{\textstyle O_{i}\geq 0}">
          <a:extLst>
            <a:ext uri="{FF2B5EF4-FFF2-40B4-BE49-F238E27FC236}">
              <a16:creationId xmlns:a16="http://schemas.microsoft.com/office/drawing/2014/main" id="{BC729A01-0C3F-4717-A542-11B6CD48FE0F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574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37</xdr:row>
      <xdr:rowOff>63500</xdr:rowOff>
    </xdr:from>
    <xdr:ext cx="304800" cy="304800"/>
    <xdr:sp macro="" textlink="">
      <xdr:nvSpPr>
        <xdr:cNvPr id="45" name="AutoShape 8" descr="{\textstyle O_{i}\geq 0}">
          <a:extLst>
            <a:ext uri="{FF2B5EF4-FFF2-40B4-BE49-F238E27FC236}">
              <a16:creationId xmlns:a16="http://schemas.microsoft.com/office/drawing/2014/main" id="{BC4971E5-D5AD-4DAD-91CD-B51B8438DD70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915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37</xdr:row>
      <xdr:rowOff>63500</xdr:rowOff>
    </xdr:from>
    <xdr:ext cx="304800" cy="304800"/>
    <xdr:sp macro="" textlink="">
      <xdr:nvSpPr>
        <xdr:cNvPr id="46" name="AutoShape 8" descr="{\textstyle O_{i}\geq 0}">
          <a:extLst>
            <a:ext uri="{FF2B5EF4-FFF2-40B4-BE49-F238E27FC236}">
              <a16:creationId xmlns:a16="http://schemas.microsoft.com/office/drawing/2014/main" id="{E8BE9633-F9B0-431D-A188-56F279E8B525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915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23</xdr:row>
      <xdr:rowOff>63500</xdr:rowOff>
    </xdr:from>
    <xdr:ext cx="304800" cy="304800"/>
    <xdr:sp macro="" textlink="">
      <xdr:nvSpPr>
        <xdr:cNvPr id="47" name="AutoShape 8" descr="{\textstyle O_{i}\geq 0}">
          <a:extLst>
            <a:ext uri="{FF2B5EF4-FFF2-40B4-BE49-F238E27FC236}">
              <a16:creationId xmlns:a16="http://schemas.microsoft.com/office/drawing/2014/main" id="{886FCD81-50BB-4CB0-BFE1-680008E7AE64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574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24</xdr:row>
      <xdr:rowOff>63500</xdr:rowOff>
    </xdr:from>
    <xdr:ext cx="304800" cy="304800"/>
    <xdr:sp macro="" textlink="">
      <xdr:nvSpPr>
        <xdr:cNvPr id="48" name="AutoShape 8" descr="{\textstyle O_{i}\geq 0}">
          <a:extLst>
            <a:ext uri="{FF2B5EF4-FFF2-40B4-BE49-F238E27FC236}">
              <a16:creationId xmlns:a16="http://schemas.microsoft.com/office/drawing/2014/main" id="{FE5B319F-7F6E-4155-A8ED-AB44E523A80C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599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49" name="AutoShape 8" descr="{\textstyle O_{i}\geq 0}">
          <a:extLst>
            <a:ext uri="{FF2B5EF4-FFF2-40B4-BE49-F238E27FC236}">
              <a16:creationId xmlns:a16="http://schemas.microsoft.com/office/drawing/2014/main" id="{B96484A0-C174-4171-9659-76642317BDEF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50" name="AutoShape 8" descr="{\textstyle O_{i}\geq 0}">
          <a:extLst>
            <a:ext uri="{FF2B5EF4-FFF2-40B4-BE49-F238E27FC236}">
              <a16:creationId xmlns:a16="http://schemas.microsoft.com/office/drawing/2014/main" id="{81078FEA-2A0E-4832-BA5A-F6DE8BE395E0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51" name="AutoShape 8" descr="{\textstyle O_{i}\geq 0}">
          <a:extLst>
            <a:ext uri="{FF2B5EF4-FFF2-40B4-BE49-F238E27FC236}">
              <a16:creationId xmlns:a16="http://schemas.microsoft.com/office/drawing/2014/main" id="{02C927A5-A3E1-4860-91E6-7C57F5470FD4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52" name="AutoShape 8" descr="{\textstyle O_{i}\geq 0}">
          <a:extLst>
            <a:ext uri="{FF2B5EF4-FFF2-40B4-BE49-F238E27FC236}">
              <a16:creationId xmlns:a16="http://schemas.microsoft.com/office/drawing/2014/main" id="{EC0DEF61-7DE4-4F5C-9237-C76D7F1CEF25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53" name="AutoShape 8" descr="{\textstyle O_{i}\geq 0}">
          <a:extLst>
            <a:ext uri="{FF2B5EF4-FFF2-40B4-BE49-F238E27FC236}">
              <a16:creationId xmlns:a16="http://schemas.microsoft.com/office/drawing/2014/main" id="{AFB20639-11FE-41D5-AAD6-568AA3A14841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501650</xdr:colOff>
      <xdr:row>34</xdr:row>
      <xdr:rowOff>0</xdr:rowOff>
    </xdr:from>
    <xdr:ext cx="304800" cy="304800"/>
    <xdr:sp macro="" textlink="">
      <xdr:nvSpPr>
        <xdr:cNvPr id="54" name="AutoShape 8" descr="{\textstyle O_{i}\geq 0}">
          <a:extLst>
            <a:ext uri="{FF2B5EF4-FFF2-40B4-BE49-F238E27FC236}">
              <a16:creationId xmlns:a16="http://schemas.microsoft.com/office/drawing/2014/main" id="{4097D312-E8A0-4FF4-B836-683FE57ADE0C}"/>
            </a:ext>
          </a:extLst>
        </xdr:cNvPr>
        <xdr:cNvSpPr>
          <a:spLocks noChangeAspect="1" noChangeArrowheads="1"/>
        </xdr:cNvSpPr>
      </xdr:nvSpPr>
      <xdr:spPr bwMode="auto">
        <a:xfrm>
          <a:off x="24733250" y="841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666750</xdr:colOff>
      <xdr:row>33</xdr:row>
      <xdr:rowOff>0</xdr:rowOff>
    </xdr:from>
    <xdr:ext cx="304800" cy="374650"/>
    <xdr:sp macro="" textlink="">
      <xdr:nvSpPr>
        <xdr:cNvPr id="55" name="AutoShape 12" descr="{\textstyle N}">
          <a:extLst>
            <a:ext uri="{FF2B5EF4-FFF2-40B4-BE49-F238E27FC236}">
              <a16:creationId xmlns:a16="http://schemas.microsoft.com/office/drawing/2014/main" id="{EB673714-9A00-47A7-AE62-5ABE715F5402}"/>
            </a:ext>
          </a:extLst>
        </xdr:cNvPr>
        <xdr:cNvSpPr>
          <a:spLocks noChangeAspect="1" noChangeArrowheads="1"/>
        </xdr:cNvSpPr>
      </xdr:nvSpPr>
      <xdr:spPr bwMode="auto">
        <a:xfrm>
          <a:off x="1866900" y="8162925"/>
          <a:ext cx="3048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worldpopulationreview.com/countries/saudi-arabia" TargetMode="External"/><Relationship Id="rId117" Type="http://schemas.openxmlformats.org/officeDocument/2006/relationships/hyperlink" Target="https://worldpopulationreview.com/countries/finland" TargetMode="External"/><Relationship Id="rId21" Type="http://schemas.openxmlformats.org/officeDocument/2006/relationships/hyperlink" Target="https://worldpopulationreview.com/countries/argentina" TargetMode="External"/><Relationship Id="rId42" Type="http://schemas.openxmlformats.org/officeDocument/2006/relationships/hyperlink" Target="https://worldpopulationreview.com/countries/taiwan" TargetMode="External"/><Relationship Id="rId47" Type="http://schemas.openxmlformats.org/officeDocument/2006/relationships/hyperlink" Target="https://worldpopulationreview.com/countries/morocco" TargetMode="External"/><Relationship Id="rId63" Type="http://schemas.openxmlformats.org/officeDocument/2006/relationships/hyperlink" Target="https://worldpopulationreview.com/countries/bhutan" TargetMode="External"/><Relationship Id="rId68" Type="http://schemas.openxmlformats.org/officeDocument/2006/relationships/hyperlink" Target="https://worldpopulationreview.com/countries/united-states" TargetMode="External"/><Relationship Id="rId84" Type="http://schemas.openxmlformats.org/officeDocument/2006/relationships/hyperlink" Target="https://worldpopulationreview.com/countries/china" TargetMode="External"/><Relationship Id="rId89" Type="http://schemas.openxmlformats.org/officeDocument/2006/relationships/hyperlink" Target="https://worldpopulationreview.com/countries/jordan" TargetMode="External"/><Relationship Id="rId112" Type="http://schemas.openxmlformats.org/officeDocument/2006/relationships/hyperlink" Target="https://worldpopulationreview.com/countries/croatia" TargetMode="External"/><Relationship Id="rId16" Type="http://schemas.openxmlformats.org/officeDocument/2006/relationships/hyperlink" Target="https://worldpopulationreview.com/countries/bolivia" TargetMode="External"/><Relationship Id="rId107" Type="http://schemas.openxmlformats.org/officeDocument/2006/relationships/hyperlink" Target="https://worldpopulationreview.com/countries/turkey" TargetMode="External"/><Relationship Id="rId11" Type="http://schemas.openxmlformats.org/officeDocument/2006/relationships/hyperlink" Target="https://worldpopulationreview.com/countries/colombia" TargetMode="External"/><Relationship Id="rId32" Type="http://schemas.openxmlformats.org/officeDocument/2006/relationships/hyperlink" Target="https://worldpopulationreview.com/countries/iceland" TargetMode="External"/><Relationship Id="rId37" Type="http://schemas.openxmlformats.org/officeDocument/2006/relationships/hyperlink" Target="https://worldpopulationreview.com/countries/cuba" TargetMode="External"/><Relationship Id="rId53" Type="http://schemas.openxmlformats.org/officeDocument/2006/relationships/hyperlink" Target="https://worldpopulationreview.com/countries/australia" TargetMode="External"/><Relationship Id="rId58" Type="http://schemas.openxmlformats.org/officeDocument/2006/relationships/hyperlink" Target="https://worldpopulationreview.com/countries/italy" TargetMode="External"/><Relationship Id="rId74" Type="http://schemas.openxmlformats.org/officeDocument/2006/relationships/hyperlink" Target="https://worldpopulationreview.com/countries/lithuania" TargetMode="External"/><Relationship Id="rId79" Type="http://schemas.openxmlformats.org/officeDocument/2006/relationships/hyperlink" Target="https://worldpopulationreview.com/countries/spain" TargetMode="External"/><Relationship Id="rId102" Type="http://schemas.openxmlformats.org/officeDocument/2006/relationships/hyperlink" Target="https://worldpopulationreview.com/countries/pakistan" TargetMode="External"/><Relationship Id="rId123" Type="http://schemas.openxmlformats.org/officeDocument/2006/relationships/hyperlink" Target="https://worldpopulationreview.com/countries/ecuador" TargetMode="External"/><Relationship Id="rId5" Type="http://schemas.openxmlformats.org/officeDocument/2006/relationships/hyperlink" Target="https://worldpopulationreview.com/countries/dr-congo" TargetMode="External"/><Relationship Id="rId61" Type="http://schemas.openxmlformats.org/officeDocument/2006/relationships/hyperlink" Target="https://worldpopulationreview.com/countries/lebanon" TargetMode="External"/><Relationship Id="rId82" Type="http://schemas.openxmlformats.org/officeDocument/2006/relationships/hyperlink" Target="https://worldpopulationreview.com/countries/georgia" TargetMode="External"/><Relationship Id="rId90" Type="http://schemas.openxmlformats.org/officeDocument/2006/relationships/hyperlink" Target="https://worldpopulationreview.com/countries/india" TargetMode="External"/><Relationship Id="rId95" Type="http://schemas.openxmlformats.org/officeDocument/2006/relationships/hyperlink" Target="https://worldpopulationreview.com/countries/israel" TargetMode="External"/><Relationship Id="rId19" Type="http://schemas.openxmlformats.org/officeDocument/2006/relationships/hyperlink" Target="https://worldpopulationreview.com/countries/costa-rica" TargetMode="External"/><Relationship Id="rId14" Type="http://schemas.openxmlformats.org/officeDocument/2006/relationships/hyperlink" Target="https://worldpopulationreview.com/countries/somalia" TargetMode="External"/><Relationship Id="rId22" Type="http://schemas.openxmlformats.org/officeDocument/2006/relationships/hyperlink" Target="https://worldpopulationreview.com/countries/bahrain" TargetMode="External"/><Relationship Id="rId27" Type="http://schemas.openxmlformats.org/officeDocument/2006/relationships/hyperlink" Target="https://worldpopulationreview.com/countries/ivory-coast" TargetMode="External"/><Relationship Id="rId30" Type="http://schemas.openxmlformats.org/officeDocument/2006/relationships/hyperlink" Target="https://worldpopulationreview.com/countries/guinea" TargetMode="External"/><Relationship Id="rId35" Type="http://schemas.openxmlformats.org/officeDocument/2006/relationships/hyperlink" Target="https://worldpopulationreview.com/countries/dominican-republic" TargetMode="External"/><Relationship Id="rId43" Type="http://schemas.openxmlformats.org/officeDocument/2006/relationships/hyperlink" Target="https://worldpopulationreview.com/countries/sri-lanka" TargetMode="External"/><Relationship Id="rId48" Type="http://schemas.openxmlformats.org/officeDocument/2006/relationships/hyperlink" Target="https://worldpopulationreview.com/countries/tunisia" TargetMode="External"/><Relationship Id="rId56" Type="http://schemas.openxmlformats.org/officeDocument/2006/relationships/hyperlink" Target="https://worldpopulationreview.com/countries/ethiopia" TargetMode="External"/><Relationship Id="rId64" Type="http://schemas.openxmlformats.org/officeDocument/2006/relationships/hyperlink" Target="https://worldpopulationreview.com/countries/new-zealand" TargetMode="External"/><Relationship Id="rId69" Type="http://schemas.openxmlformats.org/officeDocument/2006/relationships/hyperlink" Target="https://worldpopulationreview.com/countries/indonesia" TargetMode="External"/><Relationship Id="rId77" Type="http://schemas.openxmlformats.org/officeDocument/2006/relationships/hyperlink" Target="https://worldpopulationreview.com/countries/nepal" TargetMode="External"/><Relationship Id="rId100" Type="http://schemas.openxmlformats.org/officeDocument/2006/relationships/hyperlink" Target="https://worldpopulationreview.com/countries/kazakhstan" TargetMode="External"/><Relationship Id="rId105" Type="http://schemas.openxmlformats.org/officeDocument/2006/relationships/hyperlink" Target="https://worldpopulationreview.com/countries/russia" TargetMode="External"/><Relationship Id="rId113" Type="http://schemas.openxmlformats.org/officeDocument/2006/relationships/hyperlink" Target="https://worldpopulationreview.com/countries/armenia" TargetMode="External"/><Relationship Id="rId118" Type="http://schemas.openxmlformats.org/officeDocument/2006/relationships/hyperlink" Target="https://worldpopulationreview.com/countries/south-korea" TargetMode="External"/><Relationship Id="rId8" Type="http://schemas.openxmlformats.org/officeDocument/2006/relationships/hyperlink" Target="https://worldpopulationreview.com/countries/gabon" TargetMode="External"/><Relationship Id="rId51" Type="http://schemas.openxmlformats.org/officeDocument/2006/relationships/hyperlink" Target="https://worldpopulationreview.com/countries/thailand" TargetMode="External"/><Relationship Id="rId72" Type="http://schemas.openxmlformats.org/officeDocument/2006/relationships/hyperlink" Target="https://worldpopulationreview.com/countries/brazil" TargetMode="External"/><Relationship Id="rId80" Type="http://schemas.openxmlformats.org/officeDocument/2006/relationships/hyperlink" Target="https://worldpopulationreview.com/countries/switzerland" TargetMode="External"/><Relationship Id="rId85" Type="http://schemas.openxmlformats.org/officeDocument/2006/relationships/hyperlink" Target="https://worldpopulationreview.com/countries/albania" TargetMode="External"/><Relationship Id="rId93" Type="http://schemas.openxmlformats.org/officeDocument/2006/relationships/hyperlink" Target="https://worldpopulationreview.com/countries/ukraine" TargetMode="External"/><Relationship Id="rId98" Type="http://schemas.openxmlformats.org/officeDocument/2006/relationships/hyperlink" Target="https://worldpopulationreview.com/countries/bosnia-and-herzegovina" TargetMode="External"/><Relationship Id="rId121" Type="http://schemas.openxmlformats.org/officeDocument/2006/relationships/hyperlink" Target="https://worldpopulationreview.com/countries/czech-republic" TargetMode="External"/><Relationship Id="rId3" Type="http://schemas.openxmlformats.org/officeDocument/2006/relationships/hyperlink" Target="https://worldpopulationreview.com/countries/nicaragua" TargetMode="External"/><Relationship Id="rId12" Type="http://schemas.openxmlformats.org/officeDocument/2006/relationships/hyperlink" Target="https://worldpopulationreview.com/countries/paraguay" TargetMode="External"/><Relationship Id="rId17" Type="http://schemas.openxmlformats.org/officeDocument/2006/relationships/hyperlink" Target="https://worldpopulationreview.com/countries/namibia" TargetMode="External"/><Relationship Id="rId25" Type="http://schemas.openxmlformats.org/officeDocument/2006/relationships/hyperlink" Target="https://worldpopulationreview.com/countries/yemen" TargetMode="External"/><Relationship Id="rId33" Type="http://schemas.openxmlformats.org/officeDocument/2006/relationships/hyperlink" Target="https://worldpopulationreview.com/countries/cambodia" TargetMode="External"/><Relationship Id="rId38" Type="http://schemas.openxmlformats.org/officeDocument/2006/relationships/hyperlink" Target="https://worldpopulationreview.com/countries/kenya" TargetMode="External"/><Relationship Id="rId46" Type="http://schemas.openxmlformats.org/officeDocument/2006/relationships/hyperlink" Target="https://worldpopulationreview.com/countries/libya" TargetMode="External"/><Relationship Id="rId59" Type="http://schemas.openxmlformats.org/officeDocument/2006/relationships/hyperlink" Target="https://worldpopulationreview.com/countries/canada" TargetMode="External"/><Relationship Id="rId67" Type="http://schemas.openxmlformats.org/officeDocument/2006/relationships/hyperlink" Target="https://worldpopulationreview.com/countries/laos" TargetMode="External"/><Relationship Id="rId103" Type="http://schemas.openxmlformats.org/officeDocument/2006/relationships/hyperlink" Target="https://worldpopulationreview.com/countries/austria" TargetMode="External"/><Relationship Id="rId108" Type="http://schemas.openxmlformats.org/officeDocument/2006/relationships/hyperlink" Target="https://worldpopulationreview.com/countries/azerbaijan" TargetMode="External"/><Relationship Id="rId116" Type="http://schemas.openxmlformats.org/officeDocument/2006/relationships/hyperlink" Target="https://worldpopulationreview.com/countries/bulgaria" TargetMode="External"/><Relationship Id="rId20" Type="http://schemas.openxmlformats.org/officeDocument/2006/relationships/hyperlink" Target="https://worldpopulationreview.com/countries/uganda" TargetMode="External"/><Relationship Id="rId41" Type="http://schemas.openxmlformats.org/officeDocument/2006/relationships/hyperlink" Target="https://worldpopulationreview.com/countries/united-kingdom" TargetMode="External"/><Relationship Id="rId54" Type="http://schemas.openxmlformats.org/officeDocument/2006/relationships/hyperlink" Target="https://worldpopulationreview.com/countries/burkina-faso" TargetMode="External"/><Relationship Id="rId62" Type="http://schemas.openxmlformats.org/officeDocument/2006/relationships/hyperlink" Target="https://worldpopulationreview.com/countries/mauritius" TargetMode="External"/><Relationship Id="rId70" Type="http://schemas.openxmlformats.org/officeDocument/2006/relationships/hyperlink" Target="https://worldpopulationreview.com/countries/france" TargetMode="External"/><Relationship Id="rId75" Type="http://schemas.openxmlformats.org/officeDocument/2006/relationships/hyperlink" Target="https://worldpopulationreview.com/countries/myanmar" TargetMode="External"/><Relationship Id="rId83" Type="http://schemas.openxmlformats.org/officeDocument/2006/relationships/hyperlink" Target="https://worldpopulationreview.com/countries/malaysia" TargetMode="External"/><Relationship Id="rId88" Type="http://schemas.openxmlformats.org/officeDocument/2006/relationships/hyperlink" Target="https://worldpopulationreview.com/countries/norway" TargetMode="External"/><Relationship Id="rId91" Type="http://schemas.openxmlformats.org/officeDocument/2006/relationships/hyperlink" Target="https://worldpopulationreview.com/countries/belarus" TargetMode="External"/><Relationship Id="rId96" Type="http://schemas.openxmlformats.org/officeDocument/2006/relationships/hyperlink" Target="https://worldpopulationreview.com/countries/serbia" TargetMode="External"/><Relationship Id="rId111" Type="http://schemas.openxmlformats.org/officeDocument/2006/relationships/hyperlink" Target="https://worldpopulationreview.com/countries/bangladesh" TargetMode="External"/><Relationship Id="rId1" Type="http://schemas.openxmlformats.org/officeDocument/2006/relationships/hyperlink" Target="https://worldpopulationreview.com/countries/peru" TargetMode="External"/><Relationship Id="rId6" Type="http://schemas.openxmlformats.org/officeDocument/2006/relationships/hyperlink" Target="https://worldpopulationreview.com/countries/mexico" TargetMode="External"/><Relationship Id="rId15" Type="http://schemas.openxmlformats.org/officeDocument/2006/relationships/hyperlink" Target="https://worldpopulationreview.com/countries/egypt" TargetMode="External"/><Relationship Id="rId23" Type="http://schemas.openxmlformats.org/officeDocument/2006/relationships/hyperlink" Target="https://worldpopulationreview.com/countries/sudan" TargetMode="External"/><Relationship Id="rId28" Type="http://schemas.openxmlformats.org/officeDocument/2006/relationships/hyperlink" Target="https://worldpopulationreview.com/countries/ireland" TargetMode="External"/><Relationship Id="rId36" Type="http://schemas.openxmlformats.org/officeDocument/2006/relationships/hyperlink" Target="https://worldpopulationreview.com/countries/philippines" TargetMode="External"/><Relationship Id="rId49" Type="http://schemas.openxmlformats.org/officeDocument/2006/relationships/hyperlink" Target="https://worldpopulationreview.com/countries/vietnam" TargetMode="External"/><Relationship Id="rId57" Type="http://schemas.openxmlformats.org/officeDocument/2006/relationships/hyperlink" Target="https://worldpopulationreview.com/countries/south-africa" TargetMode="External"/><Relationship Id="rId106" Type="http://schemas.openxmlformats.org/officeDocument/2006/relationships/hyperlink" Target="https://worldpopulationreview.com/countries/japan" TargetMode="External"/><Relationship Id="rId114" Type="http://schemas.openxmlformats.org/officeDocument/2006/relationships/hyperlink" Target="https://worldpopulationreview.com/countries/moldova" TargetMode="External"/><Relationship Id="rId119" Type="http://schemas.openxmlformats.org/officeDocument/2006/relationships/hyperlink" Target="https://worldpopulationreview.com/countries/slovakia" TargetMode="External"/><Relationship Id="rId10" Type="http://schemas.openxmlformats.org/officeDocument/2006/relationships/hyperlink" Target="https://worldpopulationreview.com/countries/chile" TargetMode="External"/><Relationship Id="rId31" Type="http://schemas.openxmlformats.org/officeDocument/2006/relationships/hyperlink" Target="https://worldpopulationreview.com/countries/cameroon" TargetMode="External"/><Relationship Id="rId44" Type="http://schemas.openxmlformats.org/officeDocument/2006/relationships/hyperlink" Target="https://worldpopulationreview.com/countries/syria" TargetMode="External"/><Relationship Id="rId52" Type="http://schemas.openxmlformats.org/officeDocument/2006/relationships/hyperlink" Target="https://worldpopulationreview.com/countries/algeria" TargetMode="External"/><Relationship Id="rId60" Type="http://schemas.openxmlformats.org/officeDocument/2006/relationships/hyperlink" Target="https://worldpopulationreview.com/countries/mongolia" TargetMode="External"/><Relationship Id="rId65" Type="http://schemas.openxmlformats.org/officeDocument/2006/relationships/hyperlink" Target="https://worldpopulationreview.com/countries/malta" TargetMode="External"/><Relationship Id="rId73" Type="http://schemas.openxmlformats.org/officeDocument/2006/relationships/hyperlink" Target="https://worldpopulationreview.com/countries/belgium" TargetMode="External"/><Relationship Id="rId78" Type="http://schemas.openxmlformats.org/officeDocument/2006/relationships/hyperlink" Target="https://worldpopulationreview.com/countries/germany" TargetMode="External"/><Relationship Id="rId81" Type="http://schemas.openxmlformats.org/officeDocument/2006/relationships/hyperlink" Target="https://worldpopulationreview.com/countries/denmark" TargetMode="External"/><Relationship Id="rId86" Type="http://schemas.openxmlformats.org/officeDocument/2006/relationships/hyperlink" Target="https://worldpopulationreview.com/countries/liechtenstein" TargetMode="External"/><Relationship Id="rId94" Type="http://schemas.openxmlformats.org/officeDocument/2006/relationships/hyperlink" Target="https://worldpopulationreview.com/countries/sweden" TargetMode="External"/><Relationship Id="rId99" Type="http://schemas.openxmlformats.org/officeDocument/2006/relationships/hyperlink" Target="https://worldpopulationreview.com/countries/slovenia" TargetMode="External"/><Relationship Id="rId101" Type="http://schemas.openxmlformats.org/officeDocument/2006/relationships/hyperlink" Target="https://worldpopulationreview.com/countries/latvia" TargetMode="External"/><Relationship Id="rId122" Type="http://schemas.openxmlformats.org/officeDocument/2006/relationships/hyperlink" Target="https://worldpopulationreview.com/countries/hungary" TargetMode="External"/><Relationship Id="rId4" Type="http://schemas.openxmlformats.org/officeDocument/2006/relationships/hyperlink" Target="https://worldpopulationreview.com/countries/el-salvador" TargetMode="External"/><Relationship Id="rId9" Type="http://schemas.openxmlformats.org/officeDocument/2006/relationships/hyperlink" Target="https://worldpopulationreview.com/countries/honduras" TargetMode="External"/><Relationship Id="rId13" Type="http://schemas.openxmlformats.org/officeDocument/2006/relationships/hyperlink" Target="https://worldpopulationreview.com/countries/ghana" TargetMode="External"/><Relationship Id="rId18" Type="http://schemas.openxmlformats.org/officeDocument/2006/relationships/hyperlink" Target="https://worldpopulationreview.com/countries/nigeria" TargetMode="External"/><Relationship Id="rId39" Type="http://schemas.openxmlformats.org/officeDocument/2006/relationships/hyperlink" Target="https://worldpopulationreview.com/countries/singapore" TargetMode="External"/><Relationship Id="rId109" Type="http://schemas.openxmlformats.org/officeDocument/2006/relationships/hyperlink" Target="https://worldpopulationreview.com/countries/estonia" TargetMode="External"/><Relationship Id="rId34" Type="http://schemas.openxmlformats.org/officeDocument/2006/relationships/hyperlink" Target="https://worldpopulationreview.com/countries/mauritania" TargetMode="External"/><Relationship Id="rId50" Type="http://schemas.openxmlformats.org/officeDocument/2006/relationships/hyperlink" Target="https://worldpopulationreview.com/countries/hong-kong" TargetMode="External"/><Relationship Id="rId55" Type="http://schemas.openxmlformats.org/officeDocument/2006/relationships/hyperlink" Target="https://worldpopulationreview.com/countries/netherlands" TargetMode="External"/><Relationship Id="rId76" Type="http://schemas.openxmlformats.org/officeDocument/2006/relationships/hyperlink" Target="https://worldpopulationreview.com/countries/cyprus" TargetMode="External"/><Relationship Id="rId97" Type="http://schemas.openxmlformats.org/officeDocument/2006/relationships/hyperlink" Target="https://worldpopulationreview.com/countries/poland" TargetMode="External"/><Relationship Id="rId104" Type="http://schemas.openxmlformats.org/officeDocument/2006/relationships/hyperlink" Target="https://worldpopulationreview.com/countries/north-macedonia" TargetMode="External"/><Relationship Id="rId120" Type="http://schemas.openxmlformats.org/officeDocument/2006/relationships/hyperlink" Target="https://worldpopulationreview.com/countries/north-korea" TargetMode="External"/><Relationship Id="rId7" Type="http://schemas.openxmlformats.org/officeDocument/2006/relationships/hyperlink" Target="https://worldpopulationreview.com/countries/venezuela" TargetMode="External"/><Relationship Id="rId71" Type="http://schemas.openxmlformats.org/officeDocument/2006/relationships/hyperlink" Target="https://worldpopulationreview.com/countries/portugal" TargetMode="External"/><Relationship Id="rId92" Type="http://schemas.openxmlformats.org/officeDocument/2006/relationships/hyperlink" Target="https://worldpopulationreview.com/countries/iraq" TargetMode="External"/><Relationship Id="rId2" Type="http://schemas.openxmlformats.org/officeDocument/2006/relationships/hyperlink" Target="https://worldpopulationreview.com/countries/zimbabwe" TargetMode="External"/><Relationship Id="rId29" Type="http://schemas.openxmlformats.org/officeDocument/2006/relationships/hyperlink" Target="https://worldpopulationreview.com/countries/jamaica" TargetMode="External"/><Relationship Id="rId24" Type="http://schemas.openxmlformats.org/officeDocument/2006/relationships/hyperlink" Target="https://worldpopulationreview.com/countries/papua-new-guinea" TargetMode="External"/><Relationship Id="rId40" Type="http://schemas.openxmlformats.org/officeDocument/2006/relationships/hyperlink" Target="https://worldpopulationreview.com/countries/united-arab-emirates" TargetMode="External"/><Relationship Id="rId45" Type="http://schemas.openxmlformats.org/officeDocument/2006/relationships/hyperlink" Target="https://worldpopulationreview.com/countries/fiji" TargetMode="External"/><Relationship Id="rId66" Type="http://schemas.openxmlformats.org/officeDocument/2006/relationships/hyperlink" Target="https://worldpopulationreview.com/countries/greece" TargetMode="External"/><Relationship Id="rId87" Type="http://schemas.openxmlformats.org/officeDocument/2006/relationships/hyperlink" Target="https://worldpopulationreview.com/countries/iran" TargetMode="External"/><Relationship Id="rId110" Type="http://schemas.openxmlformats.org/officeDocument/2006/relationships/hyperlink" Target="https://worldpopulationreview.com/countries/uzbekistan" TargetMode="External"/><Relationship Id="rId115" Type="http://schemas.openxmlformats.org/officeDocument/2006/relationships/hyperlink" Target="https://worldpopulationreview.com/countries/romani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0E2C-1C8C-461A-9D86-A0F183470A2E}">
  <sheetPr>
    <tabColor rgb="FFFFFF00"/>
  </sheetPr>
  <dimension ref="B1:AI66"/>
  <sheetViews>
    <sheetView workbookViewId="0">
      <pane ySplit="2" topLeftCell="A3" activePane="bottomLeft" state="frozen"/>
      <selection pane="bottomLeft" activeCell="X5" sqref="X5:Y11"/>
    </sheetView>
  </sheetViews>
  <sheetFormatPr defaultRowHeight="15" x14ac:dyDescent="0.25"/>
  <cols>
    <col min="1" max="1" width="2.7109375" customWidth="1"/>
    <col min="3" max="6" width="10.5703125" customWidth="1"/>
  </cols>
  <sheetData>
    <row r="1" spans="2:35" s="145" customFormat="1" ht="18.75" x14ac:dyDescent="0.3">
      <c r="B1" s="246" t="s">
        <v>245</v>
      </c>
      <c r="C1" s="246"/>
      <c r="D1" s="246"/>
      <c r="E1" s="246"/>
      <c r="F1" s="246"/>
      <c r="G1" s="246"/>
      <c r="H1" s="246"/>
      <c r="I1" s="246"/>
      <c r="J1" s="246"/>
      <c r="K1" s="248"/>
      <c r="L1" s="248"/>
      <c r="M1" s="248"/>
      <c r="AA1" s="30"/>
      <c r="AB1" s="30"/>
      <c r="AC1" s="30"/>
      <c r="AD1" s="30"/>
    </row>
    <row r="2" spans="2:35" s="3" customFormat="1" ht="21.75" thickBot="1" x14ac:dyDescent="0.4">
      <c r="B2" s="584" t="s">
        <v>141</v>
      </c>
      <c r="C2" s="584"/>
      <c r="D2" s="584"/>
      <c r="E2" s="584"/>
      <c r="F2" s="584"/>
      <c r="G2" s="584"/>
    </row>
    <row r="3" spans="2:35" s="3" customFormat="1" ht="21.75" thickBot="1" x14ac:dyDescent="0.4">
      <c r="AA3" s="587" t="s">
        <v>392</v>
      </c>
      <c r="AB3" s="588"/>
      <c r="AC3" s="588"/>
      <c r="AD3" s="589"/>
      <c r="AF3" s="292">
        <f t="shared" ref="AF3:AF23" ca="1" si="0">RANDBETWEEN(90,110)</f>
        <v>102</v>
      </c>
      <c r="AG3" s="456">
        <f t="shared" ref="AG3:AG37" ca="1" si="1">RANDBETWEEN(95,115)</f>
        <v>101</v>
      </c>
      <c r="AH3" s="414">
        <f t="shared" ref="AH3:AH37" ca="1" si="2">RANDBETWEEN(100,120)</f>
        <v>106</v>
      </c>
      <c r="AI3" s="528">
        <f ca="1">RANDBETWEEN(110,130)</f>
        <v>115</v>
      </c>
    </row>
    <row r="4" spans="2:35" s="30" customFormat="1" ht="21.75" thickBot="1" x14ac:dyDescent="0.4">
      <c r="C4" s="81" t="s">
        <v>0</v>
      </c>
      <c r="D4" s="82" t="s">
        <v>1</v>
      </c>
      <c r="E4" s="7" t="s">
        <v>273</v>
      </c>
      <c r="F4" s="314" t="s">
        <v>274</v>
      </c>
      <c r="I4" s="81" t="s">
        <v>0</v>
      </c>
      <c r="J4" s="82" t="s">
        <v>1</v>
      </c>
      <c r="L4" s="81" t="s">
        <v>0</v>
      </c>
      <c r="M4" s="82" t="s">
        <v>1</v>
      </c>
      <c r="O4" s="81" t="s">
        <v>0</v>
      </c>
      <c r="P4" s="82" t="s">
        <v>1</v>
      </c>
      <c r="R4" s="81" t="s">
        <v>0</v>
      </c>
      <c r="S4" s="82" t="s">
        <v>1</v>
      </c>
      <c r="AA4" s="292">
        <v>29</v>
      </c>
      <c r="AB4" s="292">
        <v>11</v>
      </c>
      <c r="AC4" s="30">
        <f>SUM(AA4:AB4)</f>
        <v>40</v>
      </c>
      <c r="AD4" s="31">
        <f>AA4/AC4</f>
        <v>0.72499999999999998</v>
      </c>
      <c r="AF4" s="292">
        <f t="shared" ca="1" si="0"/>
        <v>100</v>
      </c>
      <c r="AG4" s="456">
        <f t="shared" ca="1" si="1"/>
        <v>102</v>
      </c>
      <c r="AH4" s="414">
        <f t="shared" ca="1" si="2"/>
        <v>106</v>
      </c>
      <c r="AI4" s="528">
        <f t="shared" ref="AI4:AI37" ca="1" si="3">RANDBETWEEN(110,130)</f>
        <v>129</v>
      </c>
    </row>
    <row r="5" spans="2:35" s="30" customFormat="1" ht="18.75" x14ac:dyDescent="0.3">
      <c r="C5" s="302">
        <v>10</v>
      </c>
      <c r="D5" s="302">
        <v>33.33</v>
      </c>
      <c r="E5" s="30">
        <f>IF(D5&gt;0,C5 - D5," ")</f>
        <v>-23.33</v>
      </c>
      <c r="F5" s="31">
        <f>IF(D5&gt;0,(E5^2/((C5+D5)*0.5))," ")</f>
        <v>25.122958689129931</v>
      </c>
      <c r="I5" s="169">
        <v>7.1</v>
      </c>
      <c r="J5" s="170">
        <v>8.8000000000000007</v>
      </c>
      <c r="L5" s="171">
        <v>9.1</v>
      </c>
      <c r="M5" s="170">
        <v>8.8000000000000007</v>
      </c>
      <c r="O5" s="171">
        <v>7.2</v>
      </c>
      <c r="P5" s="170">
        <v>8.8000000000000007</v>
      </c>
      <c r="R5" s="171">
        <v>7.3</v>
      </c>
      <c r="S5" s="170">
        <v>8.8000000000000007</v>
      </c>
      <c r="U5" s="30">
        <v>102</v>
      </c>
      <c r="V5" s="30">
        <v>110</v>
      </c>
      <c r="X5" s="169">
        <v>7.2</v>
      </c>
      <c r="Y5" s="170">
        <v>8.8000000000000007</v>
      </c>
      <c r="AA5" s="292">
        <v>273</v>
      </c>
      <c r="AB5" s="292">
        <v>191</v>
      </c>
      <c r="AC5" s="30">
        <f>SUM(AA5:AB5)</f>
        <v>464</v>
      </c>
      <c r="AD5" s="31">
        <f>AA5/AC5</f>
        <v>0.58836206896551724</v>
      </c>
      <c r="AF5" s="292">
        <f t="shared" ca="1" si="0"/>
        <v>95</v>
      </c>
      <c r="AG5" s="456">
        <f t="shared" ca="1" si="1"/>
        <v>97</v>
      </c>
      <c r="AH5" s="414">
        <f t="shared" ca="1" si="2"/>
        <v>114</v>
      </c>
      <c r="AI5" s="528">
        <f t="shared" ca="1" si="3"/>
        <v>123</v>
      </c>
    </row>
    <row r="6" spans="2:35" s="30" customFormat="1" ht="18.75" x14ac:dyDescent="0.3">
      <c r="C6" s="302">
        <v>50</v>
      </c>
      <c r="D6" s="302">
        <v>33.33</v>
      </c>
      <c r="E6" s="30">
        <f>IF(D6&gt;0,C6 - D6," ")</f>
        <v>16.670000000000002</v>
      </c>
      <c r="F6" s="31">
        <f>IF(D6&gt;0,(E6^2/((C6+D6)*0.5))," ")</f>
        <v>6.6696003840153617</v>
      </c>
      <c r="I6" s="171">
        <v>9.1</v>
      </c>
      <c r="J6" s="172">
        <v>7.5</v>
      </c>
      <c r="L6" s="171">
        <v>7.2</v>
      </c>
      <c r="M6" s="172">
        <v>7.5</v>
      </c>
      <c r="O6" s="171">
        <v>7.3</v>
      </c>
      <c r="P6" s="172">
        <v>7.5</v>
      </c>
      <c r="R6" s="171">
        <v>7.2</v>
      </c>
      <c r="S6" s="172">
        <v>7.5</v>
      </c>
      <c r="U6" s="30">
        <v>95</v>
      </c>
      <c r="V6" s="30">
        <v>120</v>
      </c>
      <c r="X6" s="171">
        <v>7.1</v>
      </c>
      <c r="Y6" s="172">
        <v>7.5</v>
      </c>
      <c r="AA6" s="292">
        <v>8</v>
      </c>
      <c r="AB6" s="292">
        <v>31</v>
      </c>
      <c r="AC6" s="30">
        <f>SUM(AA6:AB6)</f>
        <v>39</v>
      </c>
      <c r="AD6" s="31">
        <f>AA6/AC6</f>
        <v>0.20512820512820512</v>
      </c>
      <c r="AF6" s="292">
        <f t="shared" ca="1" si="0"/>
        <v>98</v>
      </c>
      <c r="AG6" s="456">
        <f t="shared" ca="1" si="1"/>
        <v>99</v>
      </c>
      <c r="AH6" s="414">
        <f t="shared" ca="1" si="2"/>
        <v>118</v>
      </c>
      <c r="AI6" s="528">
        <f t="shared" ca="1" si="3"/>
        <v>115</v>
      </c>
    </row>
    <row r="7" spans="2:35" s="30" customFormat="1" ht="18.75" x14ac:dyDescent="0.3">
      <c r="C7" s="302">
        <v>40</v>
      </c>
      <c r="D7" s="302">
        <v>33.33</v>
      </c>
      <c r="E7" s="30">
        <f>IF(D7&gt;0,C7 - D7," ")</f>
        <v>6.6700000000000017</v>
      </c>
      <c r="F7" s="31">
        <f>IF(D7&gt;0,(E7^2/((C7+D7)*0.5))," ")</f>
        <v>1.2133887903995642</v>
      </c>
      <c r="I7" s="171">
        <v>7.2</v>
      </c>
      <c r="J7" s="172">
        <v>7.7</v>
      </c>
      <c r="L7" s="171">
        <v>7.3</v>
      </c>
      <c r="M7" s="172">
        <v>7.7</v>
      </c>
      <c r="O7" s="171">
        <v>7.2</v>
      </c>
      <c r="P7" s="172">
        <v>7.7</v>
      </c>
      <c r="R7" s="171">
        <v>7.5</v>
      </c>
      <c r="S7" s="172">
        <v>7.7</v>
      </c>
      <c r="U7" s="30">
        <v>97</v>
      </c>
      <c r="V7" s="30">
        <v>113</v>
      </c>
      <c r="X7" s="171">
        <v>9.1</v>
      </c>
      <c r="Y7" s="172">
        <v>7.7</v>
      </c>
      <c r="AA7" s="292">
        <v>64</v>
      </c>
      <c r="AB7" s="292">
        <v>64</v>
      </c>
      <c r="AC7" s="30">
        <f>SUM(AA7:AB7)</f>
        <v>128</v>
      </c>
      <c r="AD7" s="31">
        <f>AA7/AC7</f>
        <v>0.5</v>
      </c>
      <c r="AF7" s="292">
        <f t="shared" ca="1" si="0"/>
        <v>98</v>
      </c>
      <c r="AG7" s="456">
        <f t="shared" ca="1" si="1"/>
        <v>97</v>
      </c>
      <c r="AH7" s="414">
        <f t="shared" ca="1" si="2"/>
        <v>101</v>
      </c>
      <c r="AI7" s="528">
        <f t="shared" ca="1" si="3"/>
        <v>128</v>
      </c>
    </row>
    <row r="8" spans="2:35" s="30" customFormat="1" ht="18.75" x14ac:dyDescent="0.3">
      <c r="C8" s="302"/>
      <c r="D8" s="302"/>
      <c r="E8" s="30" t="str">
        <f>IF(D8&gt;0,C8 - D8," ")</f>
        <v xml:space="preserve"> </v>
      </c>
      <c r="F8" s="31" t="str">
        <f>IF(D8&gt;0,(E8^2/((C8+D8)*0.5))," ")</f>
        <v xml:space="preserve"> </v>
      </c>
      <c r="I8" s="171">
        <v>7.3</v>
      </c>
      <c r="J8" s="172">
        <v>7.6</v>
      </c>
      <c r="L8" s="171">
        <v>7.2</v>
      </c>
      <c r="M8" s="172">
        <v>7.6</v>
      </c>
      <c r="O8" s="171">
        <v>7.5</v>
      </c>
      <c r="P8" s="172">
        <v>7.6</v>
      </c>
      <c r="R8" s="313">
        <v>7.2</v>
      </c>
      <c r="S8" s="172">
        <v>7.6</v>
      </c>
      <c r="U8" s="30">
        <v>100</v>
      </c>
      <c r="V8" s="30">
        <v>109</v>
      </c>
      <c r="X8" s="171">
        <v>7.2</v>
      </c>
      <c r="Y8" s="172">
        <v>7.6</v>
      </c>
      <c r="AD8" s="31"/>
      <c r="AF8" s="292">
        <f t="shared" ca="1" si="0"/>
        <v>105</v>
      </c>
      <c r="AG8" s="456">
        <f t="shared" ca="1" si="1"/>
        <v>103</v>
      </c>
      <c r="AH8" s="414">
        <f t="shared" ca="1" si="2"/>
        <v>106</v>
      </c>
      <c r="AI8" s="528">
        <f t="shared" ca="1" si="3"/>
        <v>119</v>
      </c>
    </row>
    <row r="9" spans="2:35" s="30" customFormat="1" ht="18.75" x14ac:dyDescent="0.3">
      <c r="C9" s="313"/>
      <c r="D9" s="531"/>
      <c r="E9" s="30" t="str">
        <f t="shared" ref="E9:E11" si="4">IF(D9&gt;0,C9 - D9," ")</f>
        <v xml:space="preserve"> </v>
      </c>
      <c r="F9" s="31" t="str">
        <f t="shared" ref="F9:F11" si="5">IF(D9&gt;0,(E9^2/((C9+D9)*0.5))," ")</f>
        <v xml:space="preserve"> </v>
      </c>
      <c r="I9" s="171">
        <v>7.2</v>
      </c>
      <c r="J9" s="172">
        <v>7.4</v>
      </c>
      <c r="L9" s="171">
        <v>7.5</v>
      </c>
      <c r="M9" s="172">
        <v>7.4</v>
      </c>
      <c r="O9" s="313">
        <v>7.2</v>
      </c>
      <c r="P9" s="172">
        <v>7.4</v>
      </c>
      <c r="R9" s="313">
        <v>7.1</v>
      </c>
      <c r="S9" s="172">
        <v>7.4</v>
      </c>
      <c r="U9" s="30">
        <v>109</v>
      </c>
      <c r="V9" s="30">
        <v>109</v>
      </c>
      <c r="X9" s="171">
        <v>7.3</v>
      </c>
      <c r="Y9" s="172">
        <v>7.4</v>
      </c>
      <c r="AD9" s="31"/>
      <c r="AF9" s="292">
        <f t="shared" ca="1" si="0"/>
        <v>110</v>
      </c>
      <c r="AG9" s="456">
        <f t="shared" ca="1" si="1"/>
        <v>96</v>
      </c>
      <c r="AH9" s="414">
        <f t="shared" ca="1" si="2"/>
        <v>103</v>
      </c>
      <c r="AI9" s="528">
        <f t="shared" ca="1" si="3"/>
        <v>114</v>
      </c>
    </row>
    <row r="10" spans="2:35" s="30" customFormat="1" ht="18.75" x14ac:dyDescent="0.3">
      <c r="C10" s="313"/>
      <c r="D10" s="531"/>
      <c r="E10" s="30" t="str">
        <f t="shared" si="4"/>
        <v xml:space="preserve"> </v>
      </c>
      <c r="F10" s="31" t="str">
        <f t="shared" si="5"/>
        <v xml:space="preserve"> </v>
      </c>
      <c r="I10" s="171">
        <v>7.5</v>
      </c>
      <c r="J10" s="172">
        <v>6.7</v>
      </c>
      <c r="L10" s="313">
        <v>7.2</v>
      </c>
      <c r="M10" s="172">
        <v>6.7</v>
      </c>
      <c r="O10" s="313">
        <v>7.1</v>
      </c>
      <c r="P10" s="172">
        <v>6.7</v>
      </c>
      <c r="R10" s="313">
        <v>9.1</v>
      </c>
      <c r="S10" s="172">
        <v>6.7</v>
      </c>
      <c r="U10" s="30">
        <v>110</v>
      </c>
      <c r="V10" s="30">
        <v>103</v>
      </c>
      <c r="X10" s="171">
        <v>7.2</v>
      </c>
      <c r="Y10" s="172">
        <v>6.7</v>
      </c>
      <c r="AA10" s="30">
        <f>SUM(AA4:AA7)</f>
        <v>374</v>
      </c>
      <c r="AB10" s="30">
        <f>SUM(AB4:AB7)</f>
        <v>297</v>
      </c>
      <c r="AC10" s="30">
        <f>SUM(AC4:AC7)</f>
        <v>671</v>
      </c>
      <c r="AD10" s="31">
        <f xml:space="preserve"> AA10 / AC10</f>
        <v>0.55737704918032782</v>
      </c>
      <c r="AF10" s="292">
        <f t="shared" ca="1" si="0"/>
        <v>90</v>
      </c>
      <c r="AG10" s="456">
        <f t="shared" ca="1" si="1"/>
        <v>113</v>
      </c>
      <c r="AH10" s="414">
        <f t="shared" ca="1" si="2"/>
        <v>118</v>
      </c>
      <c r="AI10" s="528">
        <f t="shared" ca="1" si="3"/>
        <v>123</v>
      </c>
    </row>
    <row r="11" spans="2:35" s="30" customFormat="1" ht="18.75" x14ac:dyDescent="0.3">
      <c r="C11" s="313"/>
      <c r="D11" s="531"/>
      <c r="E11" s="30" t="str">
        <f t="shared" si="4"/>
        <v xml:space="preserve"> </v>
      </c>
      <c r="F11" s="31" t="str">
        <f t="shared" si="5"/>
        <v xml:space="preserve"> </v>
      </c>
      <c r="I11" s="313">
        <v>7.2</v>
      </c>
      <c r="J11" s="172">
        <v>7.2</v>
      </c>
      <c r="L11" s="28">
        <v>7.1</v>
      </c>
      <c r="M11" s="172">
        <v>7.2</v>
      </c>
      <c r="O11" s="28">
        <v>9.1</v>
      </c>
      <c r="P11" s="172">
        <v>7.2</v>
      </c>
      <c r="R11" s="28">
        <v>7.2</v>
      </c>
      <c r="S11" s="172">
        <v>7.2</v>
      </c>
      <c r="U11" s="30">
        <v>101</v>
      </c>
      <c r="V11" s="30">
        <v>109</v>
      </c>
      <c r="X11" s="171">
        <v>7.5</v>
      </c>
      <c r="Y11" s="172">
        <v>7.2</v>
      </c>
      <c r="AA11" s="55" t="s">
        <v>393</v>
      </c>
      <c r="AB11" s="292">
        <v>28.312494404188136</v>
      </c>
      <c r="AC11" s="55" t="s">
        <v>395</v>
      </c>
      <c r="AD11" s="186" t="s">
        <v>394</v>
      </c>
      <c r="AF11" s="292">
        <f t="shared" ca="1" si="0"/>
        <v>106</v>
      </c>
      <c r="AG11" s="456">
        <f t="shared" ca="1" si="1"/>
        <v>108</v>
      </c>
      <c r="AH11" s="414">
        <f t="shared" ca="1" si="2"/>
        <v>101</v>
      </c>
      <c r="AI11" s="528">
        <f t="shared" ca="1" si="3"/>
        <v>110</v>
      </c>
    </row>
    <row r="12" spans="2:35" s="30" customFormat="1" ht="22.5" x14ac:dyDescent="0.45">
      <c r="C12" s="313"/>
      <c r="D12" s="531"/>
      <c r="E12" s="30" t="str">
        <f>IF(D12&gt;0,C12 - D12," ")</f>
        <v xml:space="preserve"> </v>
      </c>
      <c r="F12" s="31" t="str">
        <f>IF(D12&gt;0,(E12^2/((C12+D12)*0.5))," ")</f>
        <v xml:space="preserve"> </v>
      </c>
      <c r="I12" s="500" t="s">
        <v>369</v>
      </c>
      <c r="L12" s="500" t="s">
        <v>369</v>
      </c>
      <c r="O12" s="500" t="s">
        <v>369</v>
      </c>
      <c r="R12" s="500" t="s">
        <v>369</v>
      </c>
      <c r="U12" s="30">
        <v>101</v>
      </c>
      <c r="V12" s="30">
        <v>117</v>
      </c>
      <c r="AA12" s="55" t="s">
        <v>37</v>
      </c>
      <c r="AB12" s="292">
        <f>P39</f>
        <v>0</v>
      </c>
      <c r="AF12" s="292">
        <f t="shared" ca="1" si="0"/>
        <v>99</v>
      </c>
      <c r="AG12" s="456">
        <f t="shared" ca="1" si="1"/>
        <v>98</v>
      </c>
      <c r="AH12" s="414">
        <f t="shared" ca="1" si="2"/>
        <v>110</v>
      </c>
      <c r="AI12" s="528">
        <f t="shared" ca="1" si="3"/>
        <v>118</v>
      </c>
    </row>
    <row r="13" spans="2:35" s="30" customFormat="1" ht="18.75" x14ac:dyDescent="0.3">
      <c r="C13" s="313"/>
      <c r="D13" s="531"/>
      <c r="E13" s="30" t="str">
        <f>IF(D13&gt;0,C13 - D13," ")</f>
        <v xml:space="preserve"> </v>
      </c>
      <c r="F13" s="31" t="str">
        <f>IF(D13&gt;0,(E13^2/((C13+D13)*0.5))," ")</f>
        <v xml:space="preserve"> </v>
      </c>
      <c r="U13" s="30">
        <v>91</v>
      </c>
      <c r="V13" s="30">
        <v>103</v>
      </c>
      <c r="AF13" s="292">
        <f t="shared" ca="1" si="0"/>
        <v>98</v>
      </c>
      <c r="AG13" s="456">
        <f t="shared" ca="1" si="1"/>
        <v>104</v>
      </c>
      <c r="AH13" s="414">
        <f t="shared" ca="1" si="2"/>
        <v>100</v>
      </c>
      <c r="AI13" s="528">
        <f t="shared" ca="1" si="3"/>
        <v>122</v>
      </c>
    </row>
    <row r="14" spans="2:35" s="30" customFormat="1" ht="18.75" x14ac:dyDescent="0.3">
      <c r="C14" s="313"/>
      <c r="D14" s="531"/>
      <c r="E14" s="30" t="str">
        <f>IF(D14&gt;0,C14 - D14," ")</f>
        <v xml:space="preserve"> </v>
      </c>
      <c r="F14" s="31" t="str">
        <f>IF(D14&gt;0,(E14^2/((C14+D14)*0.5))," ")</f>
        <v xml:space="preserve"> </v>
      </c>
      <c r="U14" s="30">
        <v>98</v>
      </c>
      <c r="V14" s="30">
        <v>104</v>
      </c>
      <c r="AA14" s="30">
        <v>10</v>
      </c>
      <c r="AB14" s="30">
        <v>33</v>
      </c>
      <c r="AF14" s="292">
        <f t="shared" ca="1" si="0"/>
        <v>94</v>
      </c>
      <c r="AG14" s="456">
        <f t="shared" ca="1" si="1"/>
        <v>106</v>
      </c>
      <c r="AH14" s="414">
        <f t="shared" ca="1" si="2"/>
        <v>119</v>
      </c>
      <c r="AI14" s="528">
        <f t="shared" ca="1" si="3"/>
        <v>113</v>
      </c>
    </row>
    <row r="15" spans="2:35" s="30" customFormat="1" ht="18.75" x14ac:dyDescent="0.3">
      <c r="C15" s="313"/>
      <c r="D15" s="531"/>
      <c r="E15" s="30" t="str">
        <f>IF(D15&gt;0,C15 - D15," ")</f>
        <v xml:space="preserve"> </v>
      </c>
      <c r="F15" s="31" t="str">
        <f>IF(D15&gt;0,(E15^2/((C15+D15)*0.5))," ")</f>
        <v xml:space="preserve"> </v>
      </c>
      <c r="U15" s="30">
        <v>91</v>
      </c>
      <c r="V15" s="30">
        <v>117</v>
      </c>
      <c r="AA15" s="30">
        <v>50</v>
      </c>
      <c r="AB15" s="30">
        <v>33</v>
      </c>
      <c r="AF15" s="292">
        <f t="shared" ca="1" si="0"/>
        <v>93</v>
      </c>
      <c r="AG15" s="456">
        <f t="shared" ca="1" si="1"/>
        <v>101</v>
      </c>
      <c r="AH15" s="414">
        <f t="shared" ca="1" si="2"/>
        <v>105</v>
      </c>
      <c r="AI15" s="528">
        <f t="shared" ca="1" si="3"/>
        <v>118</v>
      </c>
    </row>
    <row r="16" spans="2:35" s="30" customFormat="1" ht="18.75" x14ac:dyDescent="0.3">
      <c r="C16" s="313"/>
      <c r="D16" s="531"/>
      <c r="E16" s="30" t="str">
        <f t="shared" ref="E16:E39" si="6">IF(D16&gt;0,C16 - D16," ")</f>
        <v xml:space="preserve"> </v>
      </c>
      <c r="F16" s="31" t="str">
        <f t="shared" ref="F16:F39" si="7">IF(D16&gt;0,(E16^2/((C16+D16)*0.5))," ")</f>
        <v xml:space="preserve"> </v>
      </c>
      <c r="U16" s="30">
        <v>105</v>
      </c>
      <c r="V16" s="30">
        <v>110</v>
      </c>
      <c r="AA16" s="30">
        <v>40</v>
      </c>
      <c r="AB16" s="30">
        <v>33</v>
      </c>
      <c r="AF16" s="292">
        <f t="shared" ca="1" si="0"/>
        <v>107</v>
      </c>
      <c r="AG16" s="456">
        <f t="shared" ca="1" si="1"/>
        <v>111</v>
      </c>
      <c r="AH16" s="414">
        <f t="shared" ca="1" si="2"/>
        <v>110</v>
      </c>
      <c r="AI16" s="528">
        <f t="shared" ca="1" si="3"/>
        <v>116</v>
      </c>
    </row>
    <row r="17" spans="3:35" s="30" customFormat="1" ht="18.75" x14ac:dyDescent="0.3">
      <c r="C17" s="313"/>
      <c r="D17" s="531"/>
      <c r="E17" s="30" t="str">
        <f t="shared" si="6"/>
        <v xml:space="preserve"> </v>
      </c>
      <c r="F17" s="31" t="str">
        <f>IF(D17&gt;0,(E17^2/((C17+D17)*0.5))," ")</f>
        <v xml:space="preserve"> </v>
      </c>
      <c r="U17" s="30">
        <v>102</v>
      </c>
      <c r="V17" s="30">
        <v>113</v>
      </c>
      <c r="AF17" s="292">
        <f t="shared" ca="1" si="0"/>
        <v>102</v>
      </c>
      <c r="AG17" s="456">
        <f t="shared" ca="1" si="1"/>
        <v>113</v>
      </c>
      <c r="AH17" s="414">
        <f t="shared" ca="1" si="2"/>
        <v>120</v>
      </c>
      <c r="AI17" s="528">
        <f t="shared" ca="1" si="3"/>
        <v>126</v>
      </c>
    </row>
    <row r="18" spans="3:35" s="30" customFormat="1" ht="18.75" x14ac:dyDescent="0.3">
      <c r="C18" s="313"/>
      <c r="D18" s="531"/>
      <c r="E18" s="30" t="str">
        <f t="shared" si="6"/>
        <v xml:space="preserve"> </v>
      </c>
      <c r="F18" s="31" t="str">
        <f t="shared" si="7"/>
        <v xml:space="preserve"> </v>
      </c>
      <c r="U18" s="30">
        <v>105</v>
      </c>
      <c r="V18" s="30">
        <v>100</v>
      </c>
      <c r="AF18" s="292">
        <f t="shared" ca="1" si="0"/>
        <v>107</v>
      </c>
      <c r="AG18" s="456">
        <f t="shared" ca="1" si="1"/>
        <v>111</v>
      </c>
      <c r="AH18" s="414">
        <f t="shared" ca="1" si="2"/>
        <v>110</v>
      </c>
      <c r="AI18" s="528">
        <f t="shared" ca="1" si="3"/>
        <v>126</v>
      </c>
    </row>
    <row r="19" spans="3:35" s="30" customFormat="1" ht="18.75" x14ac:dyDescent="0.3">
      <c r="C19" s="313"/>
      <c r="D19" s="531"/>
      <c r="E19" s="30" t="str">
        <f t="shared" si="6"/>
        <v xml:space="preserve"> </v>
      </c>
      <c r="F19" s="31" t="str">
        <f t="shared" si="7"/>
        <v xml:space="preserve"> </v>
      </c>
      <c r="U19" s="30">
        <v>91</v>
      </c>
      <c r="V19" s="30">
        <v>104</v>
      </c>
      <c r="AF19" s="292">
        <f t="shared" ca="1" si="0"/>
        <v>97</v>
      </c>
      <c r="AG19" s="456">
        <f t="shared" ca="1" si="1"/>
        <v>112</v>
      </c>
      <c r="AH19" s="414">
        <f t="shared" ca="1" si="2"/>
        <v>114</v>
      </c>
      <c r="AI19" s="528">
        <f t="shared" ca="1" si="3"/>
        <v>120</v>
      </c>
    </row>
    <row r="20" spans="3:35" s="30" customFormat="1" ht="18.75" x14ac:dyDescent="0.3">
      <c r="C20" s="313"/>
      <c r="D20" s="531"/>
      <c r="E20" s="30" t="str">
        <f t="shared" si="6"/>
        <v xml:space="preserve"> </v>
      </c>
      <c r="F20" s="31" t="str">
        <f t="shared" si="7"/>
        <v xml:space="preserve"> </v>
      </c>
      <c r="U20" s="30">
        <v>100</v>
      </c>
      <c r="V20" s="30">
        <v>108</v>
      </c>
      <c r="AF20" s="292">
        <f t="shared" ca="1" si="0"/>
        <v>95</v>
      </c>
      <c r="AG20" s="456">
        <f t="shared" ca="1" si="1"/>
        <v>102</v>
      </c>
      <c r="AH20" s="414">
        <f t="shared" ca="1" si="2"/>
        <v>100</v>
      </c>
      <c r="AI20" s="528">
        <f t="shared" ca="1" si="3"/>
        <v>111</v>
      </c>
    </row>
    <row r="21" spans="3:35" s="30" customFormat="1" ht="18.75" x14ac:dyDescent="0.3">
      <c r="C21" s="313"/>
      <c r="D21" s="531"/>
      <c r="E21" s="30" t="str">
        <f t="shared" si="6"/>
        <v xml:space="preserve"> </v>
      </c>
      <c r="F21" s="31" t="str">
        <f t="shared" si="7"/>
        <v xml:space="preserve"> </v>
      </c>
      <c r="U21" s="30">
        <v>100</v>
      </c>
      <c r="V21" s="30">
        <v>111</v>
      </c>
      <c r="AF21" s="292">
        <f t="shared" ca="1" si="0"/>
        <v>105</v>
      </c>
      <c r="AG21" s="456">
        <f t="shared" ca="1" si="1"/>
        <v>97</v>
      </c>
      <c r="AH21" s="414">
        <f t="shared" ca="1" si="2"/>
        <v>111</v>
      </c>
      <c r="AI21" s="528">
        <f t="shared" ca="1" si="3"/>
        <v>129</v>
      </c>
    </row>
    <row r="22" spans="3:35" s="30" customFormat="1" ht="18.75" x14ac:dyDescent="0.3">
      <c r="C22" s="313"/>
      <c r="D22" s="531"/>
      <c r="E22" s="30" t="str">
        <f t="shared" si="6"/>
        <v xml:space="preserve"> </v>
      </c>
      <c r="F22" s="31" t="str">
        <f t="shared" si="7"/>
        <v xml:space="preserve"> </v>
      </c>
      <c r="U22" s="30">
        <v>107</v>
      </c>
      <c r="V22" s="30">
        <v>117</v>
      </c>
      <c r="AF22" s="292">
        <f t="shared" ca="1" si="0"/>
        <v>100</v>
      </c>
      <c r="AG22" s="456">
        <f t="shared" ca="1" si="1"/>
        <v>110</v>
      </c>
      <c r="AH22" s="414">
        <f t="shared" ca="1" si="2"/>
        <v>106</v>
      </c>
      <c r="AI22" s="528">
        <f t="shared" ca="1" si="3"/>
        <v>121</v>
      </c>
    </row>
    <row r="23" spans="3:35" s="30" customFormat="1" ht="18.75" x14ac:dyDescent="0.3">
      <c r="C23" s="313"/>
      <c r="D23" s="531"/>
      <c r="E23" s="30" t="str">
        <f t="shared" si="6"/>
        <v xml:space="preserve"> </v>
      </c>
      <c r="F23" s="31" t="str">
        <f t="shared" si="7"/>
        <v xml:space="preserve"> </v>
      </c>
      <c r="U23" s="30">
        <v>94</v>
      </c>
      <c r="V23" s="30">
        <v>114</v>
      </c>
      <c r="AF23" s="292">
        <f t="shared" ca="1" si="0"/>
        <v>91</v>
      </c>
      <c r="AG23" s="456">
        <f t="shared" ca="1" si="1"/>
        <v>113</v>
      </c>
      <c r="AH23" s="414">
        <f t="shared" ca="1" si="2"/>
        <v>101</v>
      </c>
      <c r="AI23" s="528">
        <f t="shared" ca="1" si="3"/>
        <v>118</v>
      </c>
    </row>
    <row r="24" spans="3:35" s="30" customFormat="1" ht="18.75" x14ac:dyDescent="0.3">
      <c r="C24" s="313"/>
      <c r="D24" s="531"/>
      <c r="E24" s="30" t="str">
        <f t="shared" si="6"/>
        <v xml:space="preserve"> </v>
      </c>
      <c r="F24" s="31" t="str">
        <f t="shared" si="7"/>
        <v xml:space="preserve"> </v>
      </c>
      <c r="U24" s="30">
        <v>100</v>
      </c>
      <c r="V24" s="30">
        <v>105</v>
      </c>
      <c r="AF24" s="292">
        <f t="shared" ref="AF24:AF37" ca="1" si="8">RANDBETWEEN(90,110)</f>
        <v>110</v>
      </c>
      <c r="AG24" s="456">
        <f t="shared" ca="1" si="1"/>
        <v>102</v>
      </c>
      <c r="AH24" s="414">
        <f t="shared" ca="1" si="2"/>
        <v>117</v>
      </c>
      <c r="AI24" s="528">
        <f t="shared" ca="1" si="3"/>
        <v>126</v>
      </c>
    </row>
    <row r="25" spans="3:35" s="30" customFormat="1" ht="18.75" x14ac:dyDescent="0.3">
      <c r="C25" s="313"/>
      <c r="D25" s="531"/>
      <c r="E25" s="30" t="str">
        <f t="shared" si="6"/>
        <v xml:space="preserve"> </v>
      </c>
      <c r="F25" s="31" t="str">
        <f t="shared" si="7"/>
        <v xml:space="preserve"> </v>
      </c>
      <c r="AF25" s="292">
        <f t="shared" ca="1" si="8"/>
        <v>93</v>
      </c>
      <c r="AG25" s="456">
        <f t="shared" ca="1" si="1"/>
        <v>115</v>
      </c>
      <c r="AH25" s="414">
        <f t="shared" ca="1" si="2"/>
        <v>106</v>
      </c>
      <c r="AI25" s="528">
        <f t="shared" ca="1" si="3"/>
        <v>120</v>
      </c>
    </row>
    <row r="26" spans="3:35" s="30" customFormat="1" ht="18.75" x14ac:dyDescent="0.3">
      <c r="C26" s="313"/>
      <c r="D26" s="531"/>
      <c r="E26" s="30" t="str">
        <f t="shared" si="6"/>
        <v xml:space="preserve"> </v>
      </c>
      <c r="F26" s="31" t="str">
        <f t="shared" si="7"/>
        <v xml:space="preserve"> </v>
      </c>
      <c r="AF26" s="292">
        <f t="shared" ca="1" si="8"/>
        <v>106</v>
      </c>
      <c r="AG26" s="456">
        <f t="shared" ca="1" si="1"/>
        <v>108</v>
      </c>
      <c r="AH26" s="414">
        <f t="shared" ca="1" si="2"/>
        <v>113</v>
      </c>
      <c r="AI26" s="528">
        <f t="shared" ca="1" si="3"/>
        <v>120</v>
      </c>
    </row>
    <row r="27" spans="3:35" s="30" customFormat="1" ht="18.75" x14ac:dyDescent="0.3">
      <c r="C27" s="313"/>
      <c r="D27" s="531"/>
      <c r="E27" s="30" t="str">
        <f t="shared" si="6"/>
        <v xml:space="preserve"> </v>
      </c>
      <c r="F27" s="31" t="str">
        <f t="shared" si="7"/>
        <v xml:space="preserve"> </v>
      </c>
      <c r="AF27" s="292">
        <f t="shared" ca="1" si="8"/>
        <v>106</v>
      </c>
      <c r="AG27" s="456">
        <f t="shared" ca="1" si="1"/>
        <v>109</v>
      </c>
      <c r="AH27" s="414">
        <f t="shared" ca="1" si="2"/>
        <v>114</v>
      </c>
      <c r="AI27" s="528">
        <f t="shared" ca="1" si="3"/>
        <v>124</v>
      </c>
    </row>
    <row r="28" spans="3:35" s="30" customFormat="1" ht="18.75" x14ac:dyDescent="0.3">
      <c r="C28" s="313"/>
      <c r="D28" s="531"/>
      <c r="E28" s="30" t="str">
        <f t="shared" si="6"/>
        <v xml:space="preserve"> </v>
      </c>
      <c r="F28" s="31" t="str">
        <f t="shared" si="7"/>
        <v xml:space="preserve"> </v>
      </c>
      <c r="AF28" s="292">
        <f t="shared" ca="1" si="8"/>
        <v>110</v>
      </c>
      <c r="AG28" s="456">
        <f t="shared" ca="1" si="1"/>
        <v>96</v>
      </c>
      <c r="AH28" s="414">
        <f t="shared" ca="1" si="2"/>
        <v>116</v>
      </c>
      <c r="AI28" s="528">
        <f t="shared" ca="1" si="3"/>
        <v>118</v>
      </c>
    </row>
    <row r="29" spans="3:35" s="30" customFormat="1" ht="18.75" x14ac:dyDescent="0.3">
      <c r="C29" s="313"/>
      <c r="D29" s="531"/>
      <c r="E29" s="30" t="str">
        <f t="shared" si="6"/>
        <v xml:space="preserve"> </v>
      </c>
      <c r="F29" s="31" t="str">
        <f t="shared" si="7"/>
        <v xml:space="preserve"> </v>
      </c>
      <c r="AF29" s="292">
        <f t="shared" ca="1" si="8"/>
        <v>93</v>
      </c>
      <c r="AG29" s="456">
        <f t="shared" ca="1" si="1"/>
        <v>95</v>
      </c>
      <c r="AH29" s="414">
        <f t="shared" ca="1" si="2"/>
        <v>101</v>
      </c>
      <c r="AI29" s="528">
        <f t="shared" ca="1" si="3"/>
        <v>115</v>
      </c>
    </row>
    <row r="30" spans="3:35" s="30" customFormat="1" ht="18.75" x14ac:dyDescent="0.3">
      <c r="C30" s="313"/>
      <c r="D30" s="531"/>
      <c r="E30" s="30" t="str">
        <f t="shared" si="6"/>
        <v xml:space="preserve"> </v>
      </c>
      <c r="F30" s="31" t="str">
        <f t="shared" si="7"/>
        <v xml:space="preserve"> </v>
      </c>
      <c r="AF30" s="292">
        <f t="shared" ca="1" si="8"/>
        <v>110</v>
      </c>
      <c r="AG30" s="456">
        <f t="shared" ca="1" si="1"/>
        <v>115</v>
      </c>
      <c r="AH30" s="414">
        <f t="shared" ca="1" si="2"/>
        <v>110</v>
      </c>
      <c r="AI30" s="528">
        <f t="shared" ca="1" si="3"/>
        <v>120</v>
      </c>
    </row>
    <row r="31" spans="3:35" s="30" customFormat="1" ht="18.75" x14ac:dyDescent="0.3">
      <c r="C31" s="313"/>
      <c r="D31" s="531"/>
      <c r="E31" s="30" t="str">
        <f t="shared" si="6"/>
        <v xml:space="preserve"> </v>
      </c>
      <c r="F31" s="31" t="str">
        <f t="shared" si="7"/>
        <v xml:space="preserve"> </v>
      </c>
      <c r="AF31" s="292">
        <f t="shared" ca="1" si="8"/>
        <v>107</v>
      </c>
      <c r="AG31" s="456">
        <f t="shared" ca="1" si="1"/>
        <v>107</v>
      </c>
      <c r="AH31" s="414">
        <f t="shared" ca="1" si="2"/>
        <v>114</v>
      </c>
      <c r="AI31" s="528">
        <f t="shared" ca="1" si="3"/>
        <v>119</v>
      </c>
    </row>
    <row r="32" spans="3:35" s="30" customFormat="1" ht="18.75" x14ac:dyDescent="0.3">
      <c r="C32" s="313"/>
      <c r="D32" s="531"/>
      <c r="E32" s="30" t="str">
        <f t="shared" si="6"/>
        <v xml:space="preserve"> </v>
      </c>
      <c r="F32" s="31" t="str">
        <f t="shared" si="7"/>
        <v xml:space="preserve"> </v>
      </c>
      <c r="AF32" s="292">
        <f t="shared" ca="1" si="8"/>
        <v>94</v>
      </c>
      <c r="AG32" s="456">
        <f t="shared" ca="1" si="1"/>
        <v>115</v>
      </c>
      <c r="AH32" s="414">
        <f t="shared" ca="1" si="2"/>
        <v>117</v>
      </c>
      <c r="AI32" s="528">
        <f t="shared" ca="1" si="3"/>
        <v>113</v>
      </c>
    </row>
    <row r="33" spans="3:35" s="30" customFormat="1" ht="18.75" x14ac:dyDescent="0.3">
      <c r="C33" s="313"/>
      <c r="D33" s="531"/>
      <c r="E33" s="30" t="str">
        <f t="shared" si="6"/>
        <v xml:space="preserve"> </v>
      </c>
      <c r="F33" s="31" t="str">
        <f t="shared" si="7"/>
        <v xml:space="preserve"> </v>
      </c>
      <c r="AF33" s="292">
        <f t="shared" ca="1" si="8"/>
        <v>109</v>
      </c>
      <c r="AG33" s="456">
        <f t="shared" ca="1" si="1"/>
        <v>101</v>
      </c>
      <c r="AH33" s="414">
        <f t="shared" ca="1" si="2"/>
        <v>100</v>
      </c>
      <c r="AI33" s="528">
        <f t="shared" ca="1" si="3"/>
        <v>129</v>
      </c>
    </row>
    <row r="34" spans="3:35" s="30" customFormat="1" ht="18.75" x14ac:dyDescent="0.3">
      <c r="C34" s="313"/>
      <c r="D34" s="531"/>
      <c r="E34" s="30" t="str">
        <f t="shared" si="6"/>
        <v xml:space="preserve"> </v>
      </c>
      <c r="F34" s="31" t="str">
        <f t="shared" si="7"/>
        <v xml:space="preserve"> </v>
      </c>
      <c r="AF34" s="292">
        <f t="shared" ca="1" si="8"/>
        <v>90</v>
      </c>
      <c r="AG34" s="456">
        <f t="shared" ca="1" si="1"/>
        <v>107</v>
      </c>
      <c r="AH34" s="414">
        <f t="shared" ca="1" si="2"/>
        <v>104</v>
      </c>
      <c r="AI34" s="528">
        <f t="shared" ca="1" si="3"/>
        <v>115</v>
      </c>
    </row>
    <row r="35" spans="3:35" s="30" customFormat="1" ht="18.75" x14ac:dyDescent="0.3">
      <c r="C35" s="313"/>
      <c r="D35" s="531"/>
      <c r="E35" s="30" t="str">
        <f t="shared" si="6"/>
        <v xml:space="preserve"> </v>
      </c>
      <c r="F35" s="31" t="str">
        <f t="shared" si="7"/>
        <v xml:space="preserve"> </v>
      </c>
      <c r="AF35" s="292">
        <f t="shared" ca="1" si="8"/>
        <v>90</v>
      </c>
      <c r="AG35" s="456">
        <f t="shared" ca="1" si="1"/>
        <v>108</v>
      </c>
      <c r="AH35" s="414">
        <f t="shared" ca="1" si="2"/>
        <v>108</v>
      </c>
      <c r="AI35" s="528">
        <f t="shared" ca="1" si="3"/>
        <v>123</v>
      </c>
    </row>
    <row r="36" spans="3:35" s="30" customFormat="1" ht="18.75" x14ac:dyDescent="0.3">
      <c r="C36" s="313"/>
      <c r="D36" s="531"/>
      <c r="E36" s="30" t="str">
        <f t="shared" si="6"/>
        <v xml:space="preserve"> </v>
      </c>
      <c r="F36" s="31" t="str">
        <f t="shared" si="7"/>
        <v xml:space="preserve"> </v>
      </c>
      <c r="AF36" s="292">
        <f t="shared" ca="1" si="8"/>
        <v>95</v>
      </c>
      <c r="AG36" s="456">
        <f t="shared" ca="1" si="1"/>
        <v>98</v>
      </c>
      <c r="AH36" s="414">
        <f t="shared" ca="1" si="2"/>
        <v>113</v>
      </c>
      <c r="AI36" s="528">
        <f t="shared" ca="1" si="3"/>
        <v>123</v>
      </c>
    </row>
    <row r="37" spans="3:35" s="30" customFormat="1" ht="18.75" x14ac:dyDescent="0.3">
      <c r="C37" s="313"/>
      <c r="D37" s="531"/>
      <c r="E37" s="30" t="str">
        <f t="shared" si="6"/>
        <v xml:space="preserve"> </v>
      </c>
      <c r="F37" s="31" t="str">
        <f t="shared" si="7"/>
        <v xml:space="preserve"> </v>
      </c>
      <c r="AF37" s="292">
        <f t="shared" ca="1" si="8"/>
        <v>107</v>
      </c>
      <c r="AG37" s="456">
        <f t="shared" ca="1" si="1"/>
        <v>97</v>
      </c>
      <c r="AH37" s="414">
        <f t="shared" ca="1" si="2"/>
        <v>104</v>
      </c>
      <c r="AI37" s="528">
        <f t="shared" ca="1" si="3"/>
        <v>127</v>
      </c>
    </row>
    <row r="38" spans="3:35" s="30" customFormat="1" ht="18.75" x14ac:dyDescent="0.3">
      <c r="C38" s="313"/>
      <c r="D38" s="531"/>
      <c r="E38" s="30" t="str">
        <f t="shared" si="6"/>
        <v xml:space="preserve"> </v>
      </c>
      <c r="F38" s="31" t="str">
        <f t="shared" si="7"/>
        <v xml:space="preserve"> </v>
      </c>
    </row>
    <row r="39" spans="3:35" s="30" customFormat="1" ht="18.75" x14ac:dyDescent="0.3">
      <c r="C39" s="313"/>
      <c r="D39" s="531"/>
      <c r="E39" s="30" t="str">
        <f t="shared" si="6"/>
        <v xml:space="preserve"> </v>
      </c>
      <c r="F39" s="31" t="str">
        <f t="shared" si="7"/>
        <v xml:space="preserve"> </v>
      </c>
    </row>
    <row r="40" spans="3:35" s="30" customFormat="1" ht="18.75" x14ac:dyDescent="0.3">
      <c r="F40" s="31"/>
    </row>
    <row r="41" spans="3:35" ht="22.5" x14ac:dyDescent="0.45">
      <c r="C41" s="36" t="s">
        <v>23</v>
      </c>
      <c r="D41" s="59">
        <f>COUNT(D5:D39) - 1</f>
        <v>2</v>
      </c>
      <c r="E41" s="500" t="s">
        <v>369</v>
      </c>
      <c r="F41" s="37">
        <f>SUM(F5:F39)</f>
        <v>33.005947863544854</v>
      </c>
      <c r="I41" s="25"/>
      <c r="J41" s="25"/>
      <c r="AA41" s="30"/>
      <c r="AB41" s="30"/>
      <c r="AC41" s="30"/>
      <c r="AD41" s="30"/>
      <c r="AF41" s="30"/>
      <c r="AG41" s="30"/>
      <c r="AH41" s="30"/>
      <c r="AI41" s="30"/>
    </row>
    <row r="42" spans="3:35" ht="19.5" thickBot="1" x14ac:dyDescent="0.35">
      <c r="AF42" s="30"/>
      <c r="AG42" s="30"/>
      <c r="AH42" s="30"/>
      <c r="AI42" s="30"/>
    </row>
    <row r="43" spans="3:35" ht="21.75" thickBot="1" x14ac:dyDescent="0.4">
      <c r="C43" s="16"/>
      <c r="D43" s="585" t="s">
        <v>142</v>
      </c>
      <c r="E43" s="585"/>
      <c r="F43" s="586"/>
      <c r="J43" s="25" t="s">
        <v>272</v>
      </c>
    </row>
    <row r="44" spans="3:35" ht="21" x14ac:dyDescent="0.3">
      <c r="C44" s="530" t="s">
        <v>23</v>
      </c>
      <c r="D44" s="124" t="s">
        <v>173</v>
      </c>
      <c r="E44" s="125" t="s">
        <v>174</v>
      </c>
      <c r="F44" s="126" t="s">
        <v>175</v>
      </c>
      <c r="J44" s="30" t="s">
        <v>342</v>
      </c>
      <c r="K44" s="30"/>
    </row>
    <row r="45" spans="3:35" ht="21.75" thickBot="1" x14ac:dyDescent="0.4">
      <c r="C45" s="20">
        <f>D41</f>
        <v>2</v>
      </c>
      <c r="D45" s="444">
        <v>46.194000000000003</v>
      </c>
      <c r="E45" s="445">
        <v>53.485999999999997</v>
      </c>
      <c r="F45" s="446">
        <v>62.487000000000002</v>
      </c>
      <c r="J45" s="30"/>
      <c r="K45" s="30" t="s">
        <v>340</v>
      </c>
    </row>
    <row r="46" spans="3:35" ht="18.75" x14ac:dyDescent="0.3">
      <c r="J46" s="30"/>
      <c r="K46" s="30" t="s">
        <v>278</v>
      </c>
      <c r="L46" s="30"/>
    </row>
    <row r="47" spans="3:35" s="30" customFormat="1" ht="18.75" x14ac:dyDescent="0.3">
      <c r="C47"/>
      <c r="D47"/>
      <c r="E47"/>
      <c r="F47"/>
      <c r="G47"/>
      <c r="H47"/>
      <c r="I47"/>
      <c r="K47" s="30" t="s">
        <v>277</v>
      </c>
      <c r="AA47"/>
      <c r="AB47"/>
      <c r="AC47"/>
      <c r="AD47"/>
      <c r="AF47"/>
      <c r="AG47"/>
      <c r="AH47"/>
      <c r="AI47"/>
    </row>
    <row r="48" spans="3:35" s="30" customFormat="1" ht="18.75" x14ac:dyDescent="0.3">
      <c r="C48"/>
      <c r="D48"/>
      <c r="E48"/>
      <c r="F48"/>
      <c r="G48"/>
      <c r="H48"/>
      <c r="I48"/>
      <c r="L48" s="292" t="s">
        <v>344</v>
      </c>
      <c r="AA48"/>
      <c r="AB48"/>
      <c r="AC48"/>
      <c r="AD48"/>
      <c r="AF48"/>
      <c r="AG48"/>
      <c r="AH48"/>
      <c r="AI48"/>
    </row>
    <row r="49" spans="3:35" s="30" customFormat="1" ht="18.75" x14ac:dyDescent="0.3">
      <c r="C49"/>
      <c r="D49"/>
      <c r="E49"/>
      <c r="F49"/>
      <c r="G49"/>
      <c r="H49"/>
      <c r="I49"/>
      <c r="L49" s="292" t="s">
        <v>398</v>
      </c>
      <c r="AA49"/>
      <c r="AB49"/>
      <c r="AC49"/>
      <c r="AD49"/>
    </row>
    <row r="50" spans="3:35" s="30" customFormat="1" ht="18.75" x14ac:dyDescent="0.3">
      <c r="C50"/>
      <c r="D50"/>
      <c r="E50"/>
      <c r="F50"/>
      <c r="G50"/>
      <c r="H50"/>
      <c r="I50"/>
      <c r="L50" s="302" t="s">
        <v>397</v>
      </c>
      <c r="M50" s="302"/>
      <c r="N50" s="302"/>
      <c r="O50" s="302"/>
      <c r="P50" s="302"/>
      <c r="Q50" s="302"/>
      <c r="R50" s="302"/>
      <c r="AA50"/>
      <c r="AB50"/>
      <c r="AC50"/>
      <c r="AD50"/>
    </row>
    <row r="51" spans="3:35" s="30" customFormat="1" ht="18.75" x14ac:dyDescent="0.3">
      <c r="D51"/>
      <c r="E51"/>
      <c r="F51"/>
      <c r="G51"/>
      <c r="H51"/>
      <c r="I51"/>
      <c r="K51" s="30" t="s">
        <v>343</v>
      </c>
    </row>
    <row r="52" spans="3:35" s="30" customFormat="1" ht="18.75" x14ac:dyDescent="0.3">
      <c r="D52"/>
      <c r="E52"/>
      <c r="F52"/>
      <c r="G52"/>
      <c r="H52"/>
      <c r="I52"/>
    </row>
    <row r="53" spans="3:35" s="30" customFormat="1" ht="19.5" thickBot="1" x14ac:dyDescent="0.35">
      <c r="C53" s="25"/>
      <c r="D53"/>
      <c r="E53"/>
      <c r="F53"/>
      <c r="G53"/>
      <c r="H53"/>
      <c r="I53"/>
    </row>
    <row r="54" spans="3:35" s="30" customFormat="1" ht="21" thickBot="1" x14ac:dyDescent="0.45">
      <c r="C54" s="25" t="s">
        <v>177</v>
      </c>
      <c r="D54" s="293" t="s">
        <v>197</v>
      </c>
      <c r="E54" s="408" t="s">
        <v>198</v>
      </c>
      <c r="F54" s="408" t="s">
        <v>199</v>
      </c>
      <c r="G54" s="408" t="s">
        <v>200</v>
      </c>
      <c r="H54" s="518" t="s">
        <v>386</v>
      </c>
    </row>
    <row r="55" spans="3:35" s="30" customFormat="1" ht="18.75" x14ac:dyDescent="0.3">
      <c r="C55" s="294" t="s">
        <v>54</v>
      </c>
      <c r="D55" s="78">
        <v>0.3</v>
      </c>
      <c r="E55" s="78">
        <v>0.5</v>
      </c>
      <c r="F55" s="78">
        <f xml:space="preserve"> D55 - E55</f>
        <v>-0.2</v>
      </c>
      <c r="G55" s="78">
        <f>F55^2/E55</f>
        <v>8.0000000000000016E-2</v>
      </c>
      <c r="H55" s="290"/>
      <c r="J55" s="30" t="s">
        <v>281</v>
      </c>
    </row>
    <row r="56" spans="3:35" s="30" customFormat="1" ht="19.5" thickBot="1" x14ac:dyDescent="0.35">
      <c r="C56" s="295" t="s">
        <v>55</v>
      </c>
      <c r="D56" s="64">
        <v>0.7</v>
      </c>
      <c r="E56" s="64">
        <v>0.5</v>
      </c>
      <c r="F56" s="64">
        <f t="shared" ref="F56:F62" si="9" xml:space="preserve"> D56 - E56</f>
        <v>0.19999999999999996</v>
      </c>
      <c r="G56" s="64">
        <f t="shared" ref="G56:G62" si="10">F56^2/E56</f>
        <v>7.999999999999996E-2</v>
      </c>
      <c r="H56" s="291">
        <f>G55 + G56</f>
        <v>0.15999999999999998</v>
      </c>
      <c r="I56" s="30" t="s">
        <v>176</v>
      </c>
      <c r="J56" s="30" t="s">
        <v>280</v>
      </c>
    </row>
    <row r="57" spans="3:35" s="30" customFormat="1" ht="18.75" x14ac:dyDescent="0.3">
      <c r="C57" s="288" t="s">
        <v>151</v>
      </c>
      <c r="D57" s="78">
        <v>3</v>
      </c>
      <c r="E57" s="78">
        <v>5</v>
      </c>
      <c r="F57" s="78">
        <f t="shared" si="9"/>
        <v>-2</v>
      </c>
      <c r="G57" s="78">
        <f t="shared" si="10"/>
        <v>0.8</v>
      </c>
      <c r="H57" s="290"/>
      <c r="K57" s="30" t="s">
        <v>275</v>
      </c>
    </row>
    <row r="58" spans="3:35" s="30" customFormat="1" ht="19.5" thickBot="1" x14ac:dyDescent="0.35">
      <c r="C58" s="159" t="s">
        <v>57</v>
      </c>
      <c r="D58" s="64">
        <v>7</v>
      </c>
      <c r="E58" s="64">
        <v>5</v>
      </c>
      <c r="F58" s="64">
        <f t="shared" si="9"/>
        <v>2</v>
      </c>
      <c r="G58" s="64">
        <f t="shared" si="10"/>
        <v>0.8</v>
      </c>
      <c r="H58" s="291">
        <f>G57 + G58</f>
        <v>1.6</v>
      </c>
      <c r="I58" s="30" t="s">
        <v>176</v>
      </c>
      <c r="K58" s="30" t="s">
        <v>276</v>
      </c>
    </row>
    <row r="59" spans="3:35" s="30" customFormat="1" ht="18.75" x14ac:dyDescent="0.3">
      <c r="C59" s="108" t="s">
        <v>201</v>
      </c>
      <c r="D59" s="30">
        <v>30</v>
      </c>
      <c r="E59" s="30">
        <v>50</v>
      </c>
      <c r="F59" s="30">
        <f t="shared" si="9"/>
        <v>-20</v>
      </c>
      <c r="G59" s="30">
        <f t="shared" si="10"/>
        <v>8</v>
      </c>
      <c r="H59" s="362"/>
      <c r="K59" s="30" t="s">
        <v>384</v>
      </c>
    </row>
    <row r="60" spans="3:35" s="30" customFormat="1" ht="19.5" thickBot="1" x14ac:dyDescent="0.35">
      <c r="C60" s="109" t="s">
        <v>10</v>
      </c>
      <c r="D60" s="64">
        <v>70</v>
      </c>
      <c r="E60" s="64">
        <v>50</v>
      </c>
      <c r="F60" s="64">
        <f t="shared" si="9"/>
        <v>20</v>
      </c>
      <c r="G60" s="64">
        <f t="shared" si="10"/>
        <v>8</v>
      </c>
      <c r="H60" s="291">
        <f>G59 + G60</f>
        <v>16</v>
      </c>
      <c r="I60" s="292" t="s">
        <v>171</v>
      </c>
      <c r="K60" s="30" t="s">
        <v>385</v>
      </c>
    </row>
    <row r="61" spans="3:35" s="30" customFormat="1" ht="18.75" x14ac:dyDescent="0.3">
      <c r="C61" s="294" t="s">
        <v>21</v>
      </c>
      <c r="D61" s="78">
        <v>300</v>
      </c>
      <c r="E61" s="78">
        <v>500</v>
      </c>
      <c r="F61" s="78">
        <f t="shared" si="9"/>
        <v>-200</v>
      </c>
      <c r="G61" s="78">
        <f t="shared" si="10"/>
        <v>80</v>
      </c>
      <c r="H61" s="290"/>
      <c r="I61" s="292"/>
      <c r="AA61"/>
      <c r="AB61"/>
      <c r="AC61"/>
      <c r="AD61"/>
    </row>
    <row r="62" spans="3:35" s="30" customFormat="1" ht="19.5" thickBot="1" x14ac:dyDescent="0.35">
      <c r="C62" s="295" t="s">
        <v>202</v>
      </c>
      <c r="D62" s="64">
        <v>700</v>
      </c>
      <c r="E62" s="64">
        <v>500</v>
      </c>
      <c r="F62" s="64">
        <f t="shared" si="9"/>
        <v>200</v>
      </c>
      <c r="G62" s="64">
        <f t="shared" si="10"/>
        <v>80</v>
      </c>
      <c r="H62" s="291">
        <f>G61 + G62</f>
        <v>160</v>
      </c>
      <c r="I62" s="292" t="s">
        <v>172</v>
      </c>
      <c r="AA62"/>
      <c r="AB62"/>
      <c r="AC62"/>
      <c r="AD62"/>
    </row>
    <row r="63" spans="3:35" s="30" customFormat="1" ht="18.75" x14ac:dyDescent="0.3">
      <c r="C63" s="288" t="s">
        <v>30</v>
      </c>
      <c r="D63" s="78">
        <v>800</v>
      </c>
      <c r="E63" s="78">
        <v>1000</v>
      </c>
      <c r="F63" s="78">
        <f t="shared" ref="F63:F66" si="11" xml:space="preserve"> D63 - E63</f>
        <v>-200</v>
      </c>
      <c r="G63" s="78">
        <f t="shared" ref="G63:G66" si="12">F63^2/E63</f>
        <v>40</v>
      </c>
      <c r="H63" s="290"/>
      <c r="I63" s="292"/>
      <c r="AA63"/>
      <c r="AB63"/>
      <c r="AC63"/>
      <c r="AD63"/>
    </row>
    <row r="64" spans="3:35" ht="19.5" thickBot="1" x14ac:dyDescent="0.35">
      <c r="C64" s="158" t="s">
        <v>261</v>
      </c>
      <c r="D64" s="30">
        <v>1200</v>
      </c>
      <c r="E64" s="30">
        <v>1000</v>
      </c>
      <c r="F64" s="30">
        <f t="shared" si="11"/>
        <v>200</v>
      </c>
      <c r="G64" s="30">
        <f t="shared" si="12"/>
        <v>40</v>
      </c>
      <c r="H64" s="362">
        <f>G63 + G64</f>
        <v>80</v>
      </c>
      <c r="I64" s="292" t="s">
        <v>172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AF64" s="30"/>
      <c r="AG64" s="30"/>
      <c r="AH64" s="30"/>
      <c r="AI64" s="30"/>
    </row>
    <row r="65" spans="3:35" ht="18.75" x14ac:dyDescent="0.3">
      <c r="C65" s="293" t="s">
        <v>282</v>
      </c>
      <c r="D65" s="78">
        <v>60</v>
      </c>
      <c r="E65" s="78">
        <v>100</v>
      </c>
      <c r="F65" s="78">
        <f t="shared" si="11"/>
        <v>-40</v>
      </c>
      <c r="G65" s="78">
        <f t="shared" si="12"/>
        <v>16</v>
      </c>
      <c r="H65" s="290"/>
      <c r="I65" s="30"/>
      <c r="AF65" s="30"/>
      <c r="AG65" s="30"/>
      <c r="AH65" s="30"/>
      <c r="AI65" s="30"/>
    </row>
    <row r="66" spans="3:35" ht="19.5" thickBot="1" x14ac:dyDescent="0.35">
      <c r="C66" s="109" t="s">
        <v>283</v>
      </c>
      <c r="D66" s="64">
        <v>140</v>
      </c>
      <c r="E66" s="64">
        <v>100</v>
      </c>
      <c r="F66" s="64">
        <f t="shared" si="11"/>
        <v>40</v>
      </c>
      <c r="G66" s="64">
        <f t="shared" si="12"/>
        <v>16</v>
      </c>
      <c r="H66" s="291">
        <f>G65 + G66</f>
        <v>32</v>
      </c>
      <c r="I66" s="30" t="s">
        <v>176</v>
      </c>
    </row>
  </sheetData>
  <mergeCells count="3">
    <mergeCell ref="B2:G2"/>
    <mergeCell ref="D43:F43"/>
    <mergeCell ref="AA3:A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17E8-3313-4729-AD01-19CF4785779B}">
  <sheetPr>
    <tabColor rgb="FFFF0000"/>
  </sheetPr>
  <dimension ref="B1:AM36"/>
  <sheetViews>
    <sheetView workbookViewId="0">
      <pane ySplit="2" topLeftCell="A3" activePane="bottomLeft" state="frozen"/>
      <selection pane="bottomLeft" activeCell="R36" sqref="R36"/>
    </sheetView>
  </sheetViews>
  <sheetFormatPr defaultRowHeight="15" x14ac:dyDescent="0.25"/>
  <cols>
    <col min="2" max="2" width="8.85546875" bestFit="1" customWidth="1"/>
    <col min="3" max="3" width="11.28515625" bestFit="1" customWidth="1"/>
    <col min="4" max="4" width="10.140625" bestFit="1" customWidth="1"/>
    <col min="5" max="5" width="10.140625" customWidth="1"/>
    <col min="6" max="6" width="11.140625" customWidth="1"/>
    <col min="7" max="9" width="11.140625" bestFit="1" customWidth="1"/>
    <col min="10" max="10" width="8.85546875" bestFit="1" customWidth="1"/>
    <col min="11" max="14" width="8.7109375" customWidth="1"/>
    <col min="15" max="15" width="9.28515625" customWidth="1"/>
    <col min="16" max="19" width="8.7109375" customWidth="1"/>
    <col min="21" max="21" width="8.85546875" bestFit="1" customWidth="1"/>
    <col min="22" max="22" width="11.28515625" bestFit="1" customWidth="1"/>
    <col min="23" max="23" width="10.140625" bestFit="1" customWidth="1"/>
    <col min="24" max="24" width="10.140625" customWidth="1"/>
    <col min="25" max="25" width="11.140625" customWidth="1"/>
    <col min="26" max="28" width="11.140625" bestFit="1" customWidth="1"/>
    <col min="29" max="29" width="8.85546875" bestFit="1" customWidth="1"/>
    <col min="30" max="39" width="8.7109375" customWidth="1"/>
  </cols>
  <sheetData>
    <row r="1" spans="2:38" ht="21.75" thickBot="1" x14ac:dyDescent="0.4">
      <c r="B1" s="249" t="s">
        <v>245</v>
      </c>
      <c r="C1" s="250"/>
      <c r="D1" s="250"/>
      <c r="E1" s="250"/>
      <c r="F1" s="250"/>
      <c r="G1" s="250"/>
      <c r="H1" s="250"/>
      <c r="I1" s="250"/>
      <c r="J1" s="251"/>
      <c r="K1" s="123"/>
      <c r="L1" s="34"/>
      <c r="M1" s="34"/>
      <c r="S1" s="3"/>
      <c r="U1" s="249" t="s">
        <v>245</v>
      </c>
      <c r="V1" s="250"/>
      <c r="W1" s="250"/>
      <c r="X1" s="250"/>
      <c r="Y1" s="250"/>
      <c r="Z1" s="250"/>
      <c r="AA1" s="250"/>
      <c r="AB1" s="250"/>
      <c r="AC1" s="251"/>
      <c r="AD1" s="123"/>
      <c r="AE1" s="34"/>
      <c r="AF1" s="34"/>
      <c r="AL1" s="3"/>
    </row>
    <row r="2" spans="2:38" s="3" customFormat="1" ht="21" x14ac:dyDescent="0.35">
      <c r="B2" s="584" t="s">
        <v>305</v>
      </c>
      <c r="C2" s="584"/>
      <c r="D2" s="584"/>
      <c r="E2" s="584"/>
      <c r="F2" s="584"/>
      <c r="G2" s="584"/>
      <c r="H2" s="584"/>
      <c r="I2" s="584"/>
      <c r="J2" s="584"/>
      <c r="K2" s="145" t="s">
        <v>205</v>
      </c>
      <c r="U2" s="584" t="s">
        <v>305</v>
      </c>
      <c r="V2" s="584"/>
      <c r="W2" s="584"/>
      <c r="X2" s="584"/>
      <c r="Y2" s="584"/>
      <c r="Z2" s="584"/>
      <c r="AA2" s="584"/>
      <c r="AB2" s="584"/>
      <c r="AC2" s="584"/>
      <c r="AD2" s="145" t="s">
        <v>205</v>
      </c>
    </row>
    <row r="3" spans="2:38" s="3" customFormat="1" ht="21.75" thickBot="1" x14ac:dyDescent="0.4"/>
    <row r="4" spans="2:38" s="30" customFormat="1" ht="21.75" thickBot="1" x14ac:dyDescent="0.4">
      <c r="B4" s="57" t="s">
        <v>61</v>
      </c>
      <c r="C4" s="5" t="s">
        <v>30</v>
      </c>
      <c r="D4" s="40" t="s">
        <v>31</v>
      </c>
      <c r="E4" s="106" t="s">
        <v>161</v>
      </c>
      <c r="F4" s="40" t="s">
        <v>59</v>
      </c>
      <c r="G4" s="40" t="s">
        <v>60</v>
      </c>
      <c r="H4" s="41" t="s">
        <v>26</v>
      </c>
      <c r="I4" s="42" t="s">
        <v>28</v>
      </c>
      <c r="K4" s="13"/>
      <c r="L4" s="107"/>
      <c r="M4" s="107"/>
      <c r="N4" s="107"/>
      <c r="O4" s="203"/>
      <c r="U4" s="57" t="s">
        <v>61</v>
      </c>
      <c r="V4" s="5" t="s">
        <v>30</v>
      </c>
      <c r="W4" s="40" t="s">
        <v>31</v>
      </c>
      <c r="X4" s="106" t="s">
        <v>161</v>
      </c>
      <c r="Y4" s="40" t="s">
        <v>59</v>
      </c>
      <c r="Z4" s="40" t="s">
        <v>60</v>
      </c>
      <c r="AA4" s="41" t="s">
        <v>26</v>
      </c>
      <c r="AB4" s="42" t="s">
        <v>28</v>
      </c>
      <c r="AD4" s="13"/>
      <c r="AE4" s="107"/>
      <c r="AF4" s="107"/>
      <c r="AG4" s="107"/>
      <c r="AH4" s="203"/>
    </row>
    <row r="5" spans="2:38" s="30" customFormat="1" ht="18.75" x14ac:dyDescent="0.3">
      <c r="B5" s="24" t="s">
        <v>54</v>
      </c>
      <c r="C5" s="30">
        <v>440</v>
      </c>
      <c r="D5" s="113">
        <v>436</v>
      </c>
      <c r="E5" s="145">
        <f>C5+D5</f>
        <v>876</v>
      </c>
      <c r="F5" s="252">
        <f t="shared" ref="F5:H8" si="0">C5*LN(C5)</f>
        <v>2678.1808798414149</v>
      </c>
      <c r="G5" s="252">
        <f t="shared" si="0"/>
        <v>2649.8520181001791</v>
      </c>
      <c r="H5" s="252">
        <f t="shared" si="0"/>
        <v>5935.2206956602795</v>
      </c>
      <c r="I5" s="211">
        <f>1/E5</f>
        <v>1.1415525114155251E-3</v>
      </c>
      <c r="K5" s="215"/>
      <c r="L5" s="215"/>
      <c r="M5" s="215"/>
      <c r="N5" s="215"/>
      <c r="O5" s="145"/>
      <c r="U5" s="24" t="s">
        <v>54</v>
      </c>
      <c r="V5" s="30">
        <v>440</v>
      </c>
      <c r="W5" s="113">
        <v>436</v>
      </c>
      <c r="X5" s="145">
        <f>V5+W5</f>
        <v>876</v>
      </c>
      <c r="Y5" s="252">
        <f t="shared" ref="Y5:AA8" si="1">V5*LN(V5)</f>
        <v>2678.1808798414149</v>
      </c>
      <c r="Z5" s="252">
        <f t="shared" si="1"/>
        <v>2649.8520181001791</v>
      </c>
      <c r="AA5" s="252">
        <f t="shared" si="1"/>
        <v>5935.2206956602795</v>
      </c>
      <c r="AB5" s="211">
        <f>1/X5</f>
        <v>1.1415525114155251E-3</v>
      </c>
      <c r="AD5" s="215"/>
      <c r="AE5" s="215"/>
      <c r="AF5" s="215"/>
      <c r="AG5" s="215"/>
      <c r="AH5" s="145"/>
    </row>
    <row r="6" spans="2:38" s="30" customFormat="1" ht="18.75" x14ac:dyDescent="0.3">
      <c r="B6" s="24" t="s">
        <v>55</v>
      </c>
      <c r="C6" s="30">
        <v>270</v>
      </c>
      <c r="D6" s="113">
        <v>268</v>
      </c>
      <c r="E6" s="145">
        <f>C6+D6</f>
        <v>538</v>
      </c>
      <c r="F6" s="252">
        <f t="shared" si="0"/>
        <v>1511.5739289295614</v>
      </c>
      <c r="G6" s="252">
        <f t="shared" si="0"/>
        <v>1498.3845107769096</v>
      </c>
      <c r="H6" s="252">
        <f t="shared" si="0"/>
        <v>3382.8679053670398</v>
      </c>
      <c r="I6" s="211">
        <f>1/E6</f>
        <v>1.8587360594795538E-3</v>
      </c>
      <c r="K6" s="211"/>
      <c r="L6" s="211"/>
      <c r="M6" s="211"/>
      <c r="N6" s="211"/>
      <c r="O6" s="145"/>
      <c r="U6" s="24" t="s">
        <v>55</v>
      </c>
      <c r="V6" s="30">
        <v>270</v>
      </c>
      <c r="W6" s="113">
        <v>268</v>
      </c>
      <c r="X6" s="145">
        <f>V6+W6</f>
        <v>538</v>
      </c>
      <c r="Y6" s="252">
        <f t="shared" si="1"/>
        <v>1511.5739289295614</v>
      </c>
      <c r="Z6" s="252">
        <f t="shared" si="1"/>
        <v>1498.3845107769096</v>
      </c>
      <c r="AA6" s="252">
        <f t="shared" si="1"/>
        <v>3382.8679053670398</v>
      </c>
      <c r="AB6" s="211">
        <f>1/X6</f>
        <v>1.8587360594795538E-3</v>
      </c>
      <c r="AD6" s="211"/>
      <c r="AE6" s="211"/>
      <c r="AF6" s="211"/>
      <c r="AG6" s="211"/>
      <c r="AH6" s="145"/>
    </row>
    <row r="7" spans="2:38" s="30" customFormat="1" ht="18.75" x14ac:dyDescent="0.3">
      <c r="B7" s="24" t="s">
        <v>58</v>
      </c>
      <c r="C7" s="30">
        <v>40</v>
      </c>
      <c r="D7" s="113">
        <v>56</v>
      </c>
      <c r="E7" s="145">
        <f>C7+D7</f>
        <v>96</v>
      </c>
      <c r="F7" s="252">
        <f t="shared" si="0"/>
        <v>147.55517816455745</v>
      </c>
      <c r="G7" s="252">
        <f t="shared" si="0"/>
        <v>225.41969468116838</v>
      </c>
      <c r="H7" s="252">
        <f t="shared" si="0"/>
        <v>438.17742638091227</v>
      </c>
      <c r="I7" s="211">
        <f>1/E7</f>
        <v>1.0416666666666666E-2</v>
      </c>
      <c r="K7" s="275"/>
      <c r="L7" s="215"/>
      <c r="M7" s="275"/>
      <c r="N7" s="275"/>
      <c r="O7" s="204"/>
      <c r="U7" s="24" t="s">
        <v>58</v>
      </c>
      <c r="V7" s="30">
        <v>40</v>
      </c>
      <c r="W7" s="113">
        <v>56</v>
      </c>
      <c r="X7" s="145">
        <f>V7+W7</f>
        <v>96</v>
      </c>
      <c r="Y7" s="252">
        <f t="shared" si="1"/>
        <v>147.55517816455745</v>
      </c>
      <c r="Z7" s="252">
        <f t="shared" si="1"/>
        <v>225.41969468116838</v>
      </c>
      <c r="AA7" s="252">
        <f t="shared" si="1"/>
        <v>438.17742638091227</v>
      </c>
      <c r="AB7" s="211">
        <f>1/X7</f>
        <v>1.0416666666666666E-2</v>
      </c>
      <c r="AD7" s="275"/>
      <c r="AE7" s="211"/>
      <c r="AF7" s="215"/>
      <c r="AG7" s="275"/>
      <c r="AH7" s="204"/>
    </row>
    <row r="8" spans="2:38" s="30" customFormat="1" ht="18.75" x14ac:dyDescent="0.3">
      <c r="B8" s="24" t="s">
        <v>56</v>
      </c>
      <c r="C8" s="30">
        <v>880</v>
      </c>
      <c r="D8" s="113">
        <v>869</v>
      </c>
      <c r="E8" s="145">
        <f>C8+D8</f>
        <v>1749</v>
      </c>
      <c r="F8" s="252">
        <f t="shared" si="0"/>
        <v>5966.3312785755816</v>
      </c>
      <c r="G8" s="252">
        <f t="shared" si="0"/>
        <v>5880.8211758556254</v>
      </c>
      <c r="H8" s="252">
        <f t="shared" si="0"/>
        <v>13059.432281807536</v>
      </c>
      <c r="I8" s="211">
        <f>1/E8</f>
        <v>5.717552887364208E-4</v>
      </c>
      <c r="K8" s="211"/>
      <c r="L8" s="211"/>
      <c r="M8" s="211"/>
      <c r="N8" s="211"/>
      <c r="O8" s="275"/>
      <c r="U8" s="24" t="s">
        <v>56</v>
      </c>
      <c r="V8" s="30">
        <v>880</v>
      </c>
      <c r="W8" s="113">
        <v>869</v>
      </c>
      <c r="X8" s="145">
        <f>V8+W8</f>
        <v>1749</v>
      </c>
      <c r="Y8" s="252">
        <f t="shared" si="1"/>
        <v>5966.3312785755816</v>
      </c>
      <c r="Z8" s="252">
        <f t="shared" si="1"/>
        <v>5880.8211758556254</v>
      </c>
      <c r="AA8" s="252">
        <f t="shared" si="1"/>
        <v>13059.432281807536</v>
      </c>
      <c r="AB8" s="211">
        <f>1/X8</f>
        <v>5.717552887364208E-4</v>
      </c>
      <c r="AD8" s="211"/>
      <c r="AE8" s="211"/>
      <c r="AF8" s="211"/>
      <c r="AG8" s="211"/>
      <c r="AH8" s="275"/>
    </row>
    <row r="9" spans="2:38" s="30" customFormat="1" ht="18.75" x14ac:dyDescent="0.3">
      <c r="B9" s="24" t="s">
        <v>5</v>
      </c>
      <c r="C9" s="45">
        <f t="shared" ref="C9:I9" si="2">SUM(C5:C8)</f>
        <v>1630</v>
      </c>
      <c r="D9" s="45">
        <f t="shared" si="2"/>
        <v>1629</v>
      </c>
      <c r="E9" s="45">
        <f t="shared" si="2"/>
        <v>3259</v>
      </c>
      <c r="F9" s="256">
        <f t="shared" si="2"/>
        <v>10303.641265511116</v>
      </c>
      <c r="G9" s="256">
        <f t="shared" si="2"/>
        <v>10254.477399413881</v>
      </c>
      <c r="H9" s="256">
        <f t="shared" si="2"/>
        <v>22815.698309215768</v>
      </c>
      <c r="I9" s="274">
        <f t="shared" si="2"/>
        <v>1.3988710526298166E-2</v>
      </c>
      <c r="K9" s="45"/>
      <c r="L9" s="27"/>
      <c r="M9" s="27"/>
      <c r="N9" s="27"/>
      <c r="O9" s="27"/>
      <c r="P9" s="25"/>
      <c r="U9" s="24" t="s">
        <v>5</v>
      </c>
      <c r="V9" s="45">
        <f t="shared" ref="V9:AB9" si="3">SUM(V5:V8)</f>
        <v>1630</v>
      </c>
      <c r="W9" s="45">
        <f t="shared" si="3"/>
        <v>1629</v>
      </c>
      <c r="X9" s="45">
        <f t="shared" si="3"/>
        <v>3259</v>
      </c>
      <c r="Y9" s="256">
        <f t="shared" si="3"/>
        <v>10303.641265511116</v>
      </c>
      <c r="Z9" s="256">
        <f t="shared" si="3"/>
        <v>10254.477399413881</v>
      </c>
      <c r="AA9" s="256">
        <f t="shared" si="3"/>
        <v>22815.698309215768</v>
      </c>
      <c r="AB9" s="274">
        <f t="shared" si="3"/>
        <v>1.3988710526298166E-2</v>
      </c>
      <c r="AD9" s="45"/>
      <c r="AE9" s="215"/>
      <c r="AF9" s="211"/>
      <c r="AG9" s="27"/>
      <c r="AH9" s="27"/>
      <c r="AI9" s="25"/>
    </row>
    <row r="10" spans="2:38" ht="18.75" x14ac:dyDescent="0.3">
      <c r="G10" s="24"/>
      <c r="K10" s="45"/>
      <c r="L10" s="86"/>
      <c r="M10" s="86"/>
      <c r="N10" s="86"/>
      <c r="O10" s="86"/>
      <c r="P10" s="25"/>
      <c r="Z10" s="24"/>
      <c r="AD10" s="45"/>
      <c r="AE10" s="211"/>
      <c r="AF10" s="27"/>
      <c r="AG10" s="86"/>
      <c r="AH10" s="86"/>
      <c r="AI10" s="25"/>
    </row>
    <row r="11" spans="2:38" ht="18.75" x14ac:dyDescent="0.3">
      <c r="B11" s="25">
        <v>1</v>
      </c>
      <c r="C11" s="111">
        <f xml:space="preserve"> SUM(F5:G8)</f>
        <v>20558.118664924998</v>
      </c>
      <c r="D11" s="33" t="s">
        <v>162</v>
      </c>
      <c r="E11" s="30"/>
      <c r="F11" s="30"/>
      <c r="G11" s="30"/>
      <c r="H11" s="30"/>
      <c r="I11" s="30"/>
      <c r="K11" s="187"/>
      <c r="L11" s="113"/>
      <c r="M11" s="113"/>
      <c r="N11" s="113"/>
      <c r="O11" s="113"/>
      <c r="U11" s="25">
        <v>1</v>
      </c>
      <c r="V11" s="111">
        <f xml:space="preserve"> SUM(Y5:Z8)</f>
        <v>20558.118664924998</v>
      </c>
      <c r="W11" s="33" t="s">
        <v>162</v>
      </c>
      <c r="X11" s="30"/>
      <c r="Y11" s="30"/>
      <c r="Z11" s="30"/>
      <c r="AA11" s="30"/>
      <c r="AB11" s="30"/>
      <c r="AD11" s="187"/>
      <c r="AE11" s="27"/>
      <c r="AF11" s="86"/>
      <c r="AG11" s="113"/>
      <c r="AH11" s="113"/>
    </row>
    <row r="12" spans="2:38" ht="18.75" x14ac:dyDescent="0.3">
      <c r="B12" s="25">
        <v>2</v>
      </c>
      <c r="C12" s="111">
        <f>SUM(H5:H8)</f>
        <v>22815.698309215768</v>
      </c>
      <c r="D12" s="33" t="s">
        <v>163</v>
      </c>
      <c r="E12" s="30"/>
      <c r="F12" s="30"/>
      <c r="G12" s="30"/>
      <c r="H12" s="30"/>
      <c r="I12" s="30"/>
      <c r="K12" s="187"/>
      <c r="L12" s="113"/>
      <c r="M12" s="113"/>
      <c r="N12" s="113"/>
      <c r="O12" s="113"/>
      <c r="U12" s="25">
        <v>2</v>
      </c>
      <c r="V12" s="111">
        <f>SUM(AA5:AA8)</f>
        <v>22815.698309215768</v>
      </c>
      <c r="W12" s="33" t="s">
        <v>163</v>
      </c>
      <c r="X12" s="30"/>
      <c r="Y12" s="30"/>
      <c r="Z12" s="30"/>
      <c r="AA12" s="30"/>
      <c r="AB12" s="30"/>
      <c r="AD12" s="187"/>
      <c r="AE12" s="86"/>
      <c r="AF12" s="113"/>
      <c r="AG12" s="113"/>
      <c r="AH12" s="113"/>
    </row>
    <row r="13" spans="2:38" ht="18.75" x14ac:dyDescent="0.3">
      <c r="B13" s="25">
        <v>3</v>
      </c>
      <c r="C13" s="111">
        <f>(C9*LN(C9)+D9*LN(D9))</f>
        <v>24103.657029308051</v>
      </c>
      <c r="D13" s="33" t="s">
        <v>164</v>
      </c>
      <c r="E13" s="30"/>
      <c r="F13" s="30"/>
      <c r="G13" s="30"/>
      <c r="H13" s="30"/>
      <c r="I13" s="30"/>
      <c r="K13" s="187"/>
      <c r="L13" s="188"/>
      <c r="M13" s="188"/>
      <c r="N13" s="188"/>
      <c r="O13" s="188"/>
      <c r="P13" s="25"/>
      <c r="U13" s="25">
        <v>3</v>
      </c>
      <c r="V13" s="111">
        <f>(V9*LN(V9)+W9*LN(W9))</f>
        <v>24103.657029308051</v>
      </c>
      <c r="W13" s="33" t="s">
        <v>164</v>
      </c>
      <c r="X13" s="30"/>
      <c r="Y13" s="30"/>
      <c r="Z13" s="30"/>
      <c r="AA13" s="30"/>
      <c r="AB13" s="30"/>
      <c r="AD13" s="187"/>
      <c r="AE13" s="113"/>
      <c r="AF13" s="113"/>
      <c r="AG13" s="188"/>
      <c r="AH13" s="188"/>
      <c r="AI13" s="25"/>
    </row>
    <row r="14" spans="2:38" ht="18.75" x14ac:dyDescent="0.3">
      <c r="B14" s="25">
        <v>4</v>
      </c>
      <c r="C14" s="111">
        <f>E9*LN(E9)</f>
        <v>26362.623537331612</v>
      </c>
      <c r="D14" s="33" t="s">
        <v>163</v>
      </c>
      <c r="E14" s="30"/>
      <c r="F14" s="30"/>
      <c r="G14" s="30"/>
      <c r="H14" s="30"/>
      <c r="I14" s="30"/>
      <c r="K14" s="187"/>
      <c r="L14" s="113"/>
      <c r="M14" s="113"/>
      <c r="N14" s="113"/>
      <c r="O14" s="113"/>
      <c r="P14" s="25"/>
      <c r="U14" s="25">
        <v>4</v>
      </c>
      <c r="V14" s="111">
        <f>X9*LN(X9)</f>
        <v>26362.623537331612</v>
      </c>
      <c r="W14" s="33" t="s">
        <v>163</v>
      </c>
      <c r="X14" s="30"/>
      <c r="Y14" s="30"/>
      <c r="Z14" s="30"/>
      <c r="AA14" s="30"/>
      <c r="AB14" s="30"/>
      <c r="AD14" s="187"/>
      <c r="AE14" s="113"/>
      <c r="AF14" s="188"/>
      <c r="AG14" s="113"/>
      <c r="AH14" s="113"/>
      <c r="AI14" s="25"/>
    </row>
    <row r="15" spans="2:38" ht="18.75" x14ac:dyDescent="0.3">
      <c r="B15" s="25">
        <v>5</v>
      </c>
      <c r="C15" s="37">
        <f>2*(C11 - C12 - C13 + C14)</f>
        <v>2.7737274655810324</v>
      </c>
      <c r="D15" s="112" t="s">
        <v>165</v>
      </c>
      <c r="E15" s="33" t="s">
        <v>29</v>
      </c>
      <c r="F15" s="30"/>
      <c r="G15" s="30"/>
      <c r="H15" s="30"/>
      <c r="I15" s="30"/>
      <c r="K15" s="113"/>
      <c r="L15" s="25"/>
      <c r="M15" s="25"/>
      <c r="N15" s="25"/>
      <c r="O15" s="25"/>
      <c r="U15" s="25">
        <v>5</v>
      </c>
      <c r="V15" s="37">
        <f>2*(V11 - V12 - V13 + V14)</f>
        <v>2.7737274655810324</v>
      </c>
      <c r="W15" s="112" t="s">
        <v>165</v>
      </c>
      <c r="X15" s="33" t="s">
        <v>29</v>
      </c>
      <c r="Y15" s="30"/>
      <c r="Z15" s="30"/>
      <c r="AA15" s="30"/>
      <c r="AB15" s="30"/>
      <c r="AD15" s="113"/>
      <c r="AE15" s="188"/>
      <c r="AF15" s="113"/>
      <c r="AG15" s="25"/>
      <c r="AH15" s="25"/>
    </row>
    <row r="16" spans="2:38" ht="18.75" x14ac:dyDescent="0.3">
      <c r="D16" s="114"/>
      <c r="E16" s="513" t="s">
        <v>166</v>
      </c>
      <c r="F16" s="31"/>
      <c r="G16" s="30"/>
      <c r="H16" s="30"/>
      <c r="W16" s="114"/>
      <c r="X16" s="115" t="s">
        <v>166</v>
      </c>
      <c r="Y16" s="31"/>
      <c r="Z16" s="30"/>
      <c r="AA16" s="30"/>
      <c r="AE16" s="113"/>
      <c r="AF16" s="25"/>
    </row>
    <row r="17" spans="2:39" ht="18.75" x14ac:dyDescent="0.3">
      <c r="B17" s="114"/>
      <c r="C17" s="115"/>
      <c r="D17" s="31"/>
      <c r="E17" s="30"/>
      <c r="F17" s="30"/>
      <c r="P17" s="46"/>
      <c r="U17" s="114"/>
      <c r="V17" s="115"/>
      <c r="W17" s="31"/>
      <c r="X17" s="30"/>
      <c r="Y17" s="30"/>
      <c r="AE17" s="25"/>
      <c r="AI17" s="46"/>
    </row>
    <row r="18" spans="2:39" ht="19.5" thickBot="1" x14ac:dyDescent="0.35">
      <c r="B18" s="23"/>
      <c r="D18" s="25"/>
      <c r="E18" s="189" t="s">
        <v>167</v>
      </c>
      <c r="F18" s="189" t="s">
        <v>168</v>
      </c>
      <c r="G18" s="189" t="s">
        <v>169</v>
      </c>
      <c r="O18" s="25"/>
      <c r="P18" s="46"/>
      <c r="U18" s="23"/>
      <c r="W18" s="25"/>
      <c r="X18" s="411"/>
      <c r="Y18" s="411"/>
      <c r="Z18" s="411"/>
      <c r="AH18" s="25"/>
      <c r="AI18" s="46"/>
    </row>
    <row r="19" spans="2:39" ht="19.5" thickBot="1" x14ac:dyDescent="0.35">
      <c r="B19" s="23"/>
      <c r="D19" s="190" t="s">
        <v>170</v>
      </c>
      <c r="E19" s="117">
        <v>6.2510000000000003</v>
      </c>
      <c r="F19" s="118">
        <v>11.345000000000001</v>
      </c>
      <c r="G19" s="119">
        <v>16.265999999999998</v>
      </c>
      <c r="L19" s="59"/>
      <c r="M19" s="46"/>
      <c r="N19" s="46"/>
      <c r="O19" s="46"/>
      <c r="P19" s="25"/>
      <c r="U19" s="23"/>
      <c r="W19" s="24"/>
      <c r="X19" s="25"/>
      <c r="Y19" s="25"/>
      <c r="Z19" s="25"/>
      <c r="AE19" s="59"/>
      <c r="AG19" s="46"/>
      <c r="AH19" s="46"/>
      <c r="AI19" s="25"/>
    </row>
    <row r="20" spans="2:39" ht="18.75" x14ac:dyDescent="0.3">
      <c r="O20" s="25"/>
      <c r="AH20" s="25"/>
    </row>
    <row r="21" spans="2:39" ht="20.100000000000001" customHeight="1" x14ac:dyDescent="0.35">
      <c r="C21" s="44"/>
      <c r="D21" s="616" t="s">
        <v>47</v>
      </c>
      <c r="E21" s="616"/>
      <c r="F21" s="616"/>
      <c r="G21" s="616"/>
      <c r="H21" s="2"/>
      <c r="I21" s="617" t="s">
        <v>223</v>
      </c>
      <c r="J21" s="617"/>
      <c r="K21" s="617"/>
      <c r="L21" s="205" t="s">
        <v>48</v>
      </c>
      <c r="M21" s="614" t="s">
        <v>224</v>
      </c>
      <c r="N21" s="614"/>
      <c r="O21" s="614"/>
      <c r="P21" s="618" t="s">
        <v>225</v>
      </c>
      <c r="Q21" s="618"/>
      <c r="R21" s="618"/>
      <c r="S21" s="618"/>
      <c r="T21" s="122"/>
      <c r="V21" s="44"/>
      <c r="W21" s="616" t="s">
        <v>47</v>
      </c>
      <c r="X21" s="619"/>
      <c r="Y21" s="619"/>
      <c r="Z21" s="619"/>
      <c r="AA21" s="2"/>
      <c r="AB21" s="617" t="s">
        <v>223</v>
      </c>
      <c r="AC21" s="617"/>
      <c r="AD21" s="617"/>
      <c r="AE21" s="205" t="s">
        <v>48</v>
      </c>
      <c r="AF21" s="614" t="s">
        <v>224</v>
      </c>
      <c r="AG21" s="614"/>
      <c r="AH21" s="614"/>
      <c r="AI21" s="615" t="s">
        <v>225</v>
      </c>
      <c r="AJ21" s="615"/>
      <c r="AK21" s="615"/>
      <c r="AL21" s="615"/>
      <c r="AM21" s="122"/>
    </row>
    <row r="22" spans="2:39" ht="21" x14ac:dyDescent="0.35">
      <c r="B22" s="46"/>
      <c r="C22" s="47" t="s">
        <v>49</v>
      </c>
      <c r="D22" s="48" t="s">
        <v>50</v>
      </c>
      <c r="E22" s="48" t="s">
        <v>51</v>
      </c>
      <c r="F22" s="48" t="s">
        <v>52</v>
      </c>
      <c r="G22" s="48" t="s">
        <v>53</v>
      </c>
      <c r="H22" s="48" t="s">
        <v>25</v>
      </c>
      <c r="I22" s="49" t="s">
        <v>54</v>
      </c>
      <c r="J22" s="50" t="s">
        <v>55</v>
      </c>
      <c r="K22" s="50" t="s">
        <v>56</v>
      </c>
      <c r="L22" s="206" t="s">
        <v>57</v>
      </c>
      <c r="M22" s="207" t="s">
        <v>54</v>
      </c>
      <c r="N22" s="208" t="s">
        <v>55</v>
      </c>
      <c r="O22" s="209" t="s">
        <v>56</v>
      </c>
      <c r="P22" s="120" t="s">
        <v>54</v>
      </c>
      <c r="Q22" s="121" t="s">
        <v>55</v>
      </c>
      <c r="R22" s="122" t="s">
        <v>58</v>
      </c>
      <c r="S22" s="122" t="s">
        <v>56</v>
      </c>
      <c r="T22" s="122" t="s">
        <v>25</v>
      </c>
      <c r="U22" s="46"/>
      <c r="V22" s="47" t="s">
        <v>49</v>
      </c>
      <c r="W22" s="48" t="s">
        <v>50</v>
      </c>
      <c r="X22" s="48" t="s">
        <v>51</v>
      </c>
      <c r="Y22" s="48" t="s">
        <v>52</v>
      </c>
      <c r="Z22" s="48" t="s">
        <v>53</v>
      </c>
      <c r="AA22" s="48" t="s">
        <v>25</v>
      </c>
      <c r="AB22" s="49" t="s">
        <v>54</v>
      </c>
      <c r="AC22" s="50" t="s">
        <v>55</v>
      </c>
      <c r="AD22" s="50" t="s">
        <v>56</v>
      </c>
      <c r="AE22" s="206" t="s">
        <v>57</v>
      </c>
      <c r="AF22" s="207" t="s">
        <v>54</v>
      </c>
      <c r="AG22" s="208" t="s">
        <v>55</v>
      </c>
      <c r="AH22" s="209" t="s">
        <v>56</v>
      </c>
      <c r="AI22" s="120" t="s">
        <v>54</v>
      </c>
      <c r="AJ22" s="121" t="s">
        <v>55</v>
      </c>
      <c r="AK22" s="122" t="s">
        <v>58</v>
      </c>
      <c r="AL22" s="122" t="s">
        <v>56</v>
      </c>
      <c r="AM22" s="122" t="s">
        <v>25</v>
      </c>
    </row>
    <row r="23" spans="2:39" s="30" customFormat="1" ht="20.100000000000001" customHeight="1" x14ac:dyDescent="0.3">
      <c r="B23" s="87"/>
      <c r="C23" s="502" t="s">
        <v>308</v>
      </c>
      <c r="D23" s="412">
        <v>0.25</v>
      </c>
      <c r="E23" s="412">
        <v>0.2</v>
      </c>
      <c r="F23" s="412">
        <v>0.05</v>
      </c>
      <c r="G23" s="412">
        <v>0.5</v>
      </c>
      <c r="H23" s="412">
        <f>SUM(D23:G23)</f>
        <v>1</v>
      </c>
      <c r="I23" s="412">
        <f xml:space="preserve"> SQRT(G23 + D23) - K23</f>
        <v>0.15891862259789102</v>
      </c>
      <c r="J23" s="412">
        <f xml:space="preserve"> SQRT(G23 + E23) - K23</f>
        <v>0.12955324534752799</v>
      </c>
      <c r="K23" s="412">
        <f>SQRT(G23)</f>
        <v>0.70710678118654757</v>
      </c>
      <c r="L23" s="520">
        <f xml:space="preserve"> 1 - (I23 +J23 + K23)</f>
        <v>4.4213508680334135E-3</v>
      </c>
      <c r="M23" s="412">
        <f>I23*(1 + $L23/2)</f>
        <v>0.15926994009287596</v>
      </c>
      <c r="N23" s="412">
        <f>J23*(1 + $L23/2)</f>
        <v>0.1298396455244149</v>
      </c>
      <c r="O23" s="412">
        <f>(K23 + $L$23/2)*(1 + $L23/2)</f>
        <v>0.71088552729683452</v>
      </c>
      <c r="P23" s="521">
        <f>M23^2 + (2*M23*O23)</f>
        <v>0.25181230450810704</v>
      </c>
      <c r="Q23" s="521">
        <f xml:space="preserve"> N23^2 + (2*N23 * O23)</f>
        <v>0.20146058329522123</v>
      </c>
      <c r="R23" s="521">
        <f>2 * M23 * N23</f>
        <v>4.1359105128707621E-2</v>
      </c>
      <c r="S23" s="521">
        <f>O23^2</f>
        <v>0.5053582329200984</v>
      </c>
      <c r="T23" s="412">
        <f>SUM(P23:S23)</f>
        <v>0.99999022585213426</v>
      </c>
      <c r="U23" s="87"/>
      <c r="V23" s="24" t="s">
        <v>307</v>
      </c>
      <c r="W23" s="113">
        <v>440</v>
      </c>
      <c r="X23" s="113">
        <v>270</v>
      </c>
      <c r="Y23" s="113">
        <v>40</v>
      </c>
      <c r="Z23" s="113">
        <v>880</v>
      </c>
      <c r="AA23" s="188">
        <f t="shared" ref="AA23:AA25" si="4">SUM(W23:Z23)</f>
        <v>1630</v>
      </c>
      <c r="AB23" s="31">
        <f xml:space="preserve"> SQRT(Z23/AA23 + W23/AA23) - AD23</f>
        <v>0.16513431296829617</v>
      </c>
      <c r="AC23" s="31">
        <f xml:space="preserve"> SQRT(Z23/AA23 + X23/AA23) - AD23</f>
        <v>0.10518982434199697</v>
      </c>
      <c r="AD23" s="31">
        <f>SQRT(Z23/AA23)</f>
        <v>0.73476343173398129</v>
      </c>
      <c r="AE23" s="299">
        <f xml:space="preserve"> 1 - (AB23 +AC23 + AD23)</f>
        <v>-5.0875690442744315E-3</v>
      </c>
      <c r="AF23" s="31">
        <f>AB23*(1 + $AD23/2)</f>
        <v>0.22580164021510543</v>
      </c>
      <c r="AG23" s="31">
        <f>AC23*(1 + $AD23/2)</f>
        <v>0.14383464250050715</v>
      </c>
      <c r="AH23" s="31">
        <f>(AD23 + $L$23/2)*(1 + $AD23/2)</f>
        <v>1.0077249192089206</v>
      </c>
      <c r="AI23" s="415">
        <f>(AF23^2 + (2*AF23*AH23)) * AA23</f>
        <v>824.90756381605502</v>
      </c>
      <c r="AJ23" s="415">
        <f xml:space="preserve"> (AG23^2 + (2*AG23 * AH23)) * AA23</f>
        <v>506.24525553274759</v>
      </c>
      <c r="AK23" s="415">
        <f xml:space="preserve"> (2*AF23*AG23) * AA23</f>
        <v>105.87860012015912</v>
      </c>
      <c r="AL23" s="415">
        <f>AH23^2 * AA23</f>
        <v>1655.2805058552399</v>
      </c>
      <c r="AM23" s="86">
        <f t="shared" ref="AM23:AM25" si="5">SUM(AI23:AL23)</f>
        <v>3092.3119253242012</v>
      </c>
    </row>
    <row r="24" spans="2:39" s="30" customFormat="1" ht="20.100000000000001" customHeight="1" x14ac:dyDescent="0.3">
      <c r="B24" s="87"/>
      <c r="C24" s="87" t="s">
        <v>129</v>
      </c>
      <c r="D24" s="86">
        <v>47</v>
      </c>
      <c r="E24" s="86">
        <v>10</v>
      </c>
      <c r="F24" s="86">
        <v>5</v>
      </c>
      <c r="G24" s="86">
        <v>38</v>
      </c>
      <c r="H24" s="86">
        <f t="shared" ref="H24:H31" si="6">SUM(D24:G24)</f>
        <v>100</v>
      </c>
      <c r="I24" s="31">
        <f t="shared" ref="I24:I31" si="7" xml:space="preserve"> SQRT(G24/H24 + D24/H24) - K24</f>
        <v>0.30551304543239111</v>
      </c>
      <c r="J24" s="31">
        <f t="shared" ref="J24:J31" si="8" xml:space="preserve"> SQRT(G24/H24 + E24/H24) - K24</f>
        <v>7.6378922730653276E-2</v>
      </c>
      <c r="K24" s="31">
        <f t="shared" ref="K24:K31" si="9">SQRT(G24/H24)</f>
        <v>0.61644140029689765</v>
      </c>
      <c r="L24" s="299">
        <f t="shared" ref="L24:L31" si="10" xml:space="preserve"> 1 - (I24 +J24 + K24)</f>
        <v>1.6666315400579723E-3</v>
      </c>
      <c r="M24" s="31">
        <f t="shared" ref="M24:M31" si="11">I24*(1 + $L24/2)</f>
        <v>0.30576763427109949</v>
      </c>
      <c r="N24" s="31">
        <f t="shared" ref="N24:N31" si="12">J24*(1 + $L24/2)</f>
        <v>7.6442570491462553E-2</v>
      </c>
      <c r="O24" s="31">
        <f t="shared" ref="O24:O31" si="13">(K24 + $L$23/2)*(1 + $L24/2)</f>
        <v>0.61916760826178208</v>
      </c>
      <c r="P24" s="188">
        <f t="shared" ref="P24:P31" si="14">(M24^2 + (2*M24*O24)) * H24</f>
        <v>47.213667575874481</v>
      </c>
      <c r="Q24" s="188">
        <f t="shared" ref="Q24:Q31" si="15" xml:space="preserve"> (N24^2 + (2*N24 * O24)) * H24</f>
        <v>10.050499366450532</v>
      </c>
      <c r="R24" s="188">
        <f t="shared" ref="R24:R31" si="16" xml:space="preserve"> (2*M24*N24) * H24</f>
        <v>4.6747327873552527</v>
      </c>
      <c r="S24" s="188">
        <f t="shared" ref="S24:S31" si="17">O24^2 * H24</f>
        <v>38.336852712061564</v>
      </c>
      <c r="T24" s="86">
        <f t="shared" ref="T24:T31" si="18">SUM(P24:S24)</f>
        <v>100.27575244174183</v>
      </c>
      <c r="U24" s="87"/>
      <c r="V24" s="24" t="s">
        <v>306</v>
      </c>
      <c r="W24" s="113">
        <v>436</v>
      </c>
      <c r="X24" s="113">
        <v>268</v>
      </c>
      <c r="Y24" s="113">
        <v>56</v>
      </c>
      <c r="Z24" s="113">
        <v>869</v>
      </c>
      <c r="AA24" s="188">
        <f t="shared" si="4"/>
        <v>1629</v>
      </c>
      <c r="AB24" s="31">
        <f xml:space="preserve"> SQRT(Z24/AA24 + W24/AA24) - AD24</f>
        <v>0.16466387959000284</v>
      </c>
      <c r="AC24" s="31">
        <f xml:space="preserve"> SQRT(Z24/AA24 + X24/AA24) - AD24</f>
        <v>0.10506771606345866</v>
      </c>
      <c r="AD24" s="31">
        <f>SQRT(Z24/AA24)</f>
        <v>0.73038079659978972</v>
      </c>
      <c r="AE24" s="299">
        <f xml:space="preserve"> 1 - (AB24 +AC24 + AD24)</f>
        <v>-1.1239225325132551E-4</v>
      </c>
      <c r="AF24" s="31">
        <f t="shared" ref="AF24:AF25" si="19">AB24*(1 + $AD24/2)</f>
        <v>0.22479754736308191</v>
      </c>
      <c r="AG24" s="31">
        <f t="shared" ref="AG24:AG25" si="20">AC24*(1 + $AD24/2)</f>
        <v>0.14343743714113341</v>
      </c>
      <c r="AH24" s="31">
        <f t="shared" ref="AH24:AH25" si="21">(AD24 + $L$23/2)*(1 + $AD24/2)</f>
        <v>1.0001268434969386</v>
      </c>
      <c r="AI24" s="86">
        <f>(AF24^2 + (2*AF24*AH24)) * AA24</f>
        <v>814.80309213200644</v>
      </c>
      <c r="AJ24" s="86">
        <f xml:space="preserve"> (AG24^2 + (2*AG24 * AH24)) * AA24</f>
        <v>500.89397865416942</v>
      </c>
      <c r="AK24" s="86">
        <f xml:space="preserve"> (2*AF24*AG24) * AA24</f>
        <v>105.0522032980173</v>
      </c>
      <c r="AL24" s="86">
        <f>AH24^2 * AA24</f>
        <v>1629.4132823224513</v>
      </c>
      <c r="AM24" s="86">
        <f t="shared" si="5"/>
        <v>3050.1625564066444</v>
      </c>
    </row>
    <row r="25" spans="2:39" s="30" customFormat="1" ht="20.100000000000001" customHeight="1" x14ac:dyDescent="0.3">
      <c r="B25" s="87"/>
      <c r="C25" s="87" t="s">
        <v>112</v>
      </c>
      <c r="D25" s="86">
        <v>50</v>
      </c>
      <c r="E25" s="86">
        <v>8</v>
      </c>
      <c r="F25" s="86">
        <v>4</v>
      </c>
      <c r="G25" s="86">
        <v>39</v>
      </c>
      <c r="H25" s="86">
        <f t="shared" si="6"/>
        <v>101</v>
      </c>
      <c r="I25" s="31">
        <f t="shared" si="7"/>
        <v>0.31731568169423074</v>
      </c>
      <c r="J25" s="31">
        <f t="shared" si="8"/>
        <v>6.0762602943989275E-2</v>
      </c>
      <c r="K25" s="31">
        <f t="shared" si="9"/>
        <v>0.62140052611933483</v>
      </c>
      <c r="L25" s="299">
        <f t="shared" si="10"/>
        <v>5.2118924244515252E-4</v>
      </c>
      <c r="M25" s="31">
        <f t="shared" si="11"/>
        <v>0.31739837245410985</v>
      </c>
      <c r="N25" s="31">
        <f t="shared" si="12"/>
        <v>6.0778437351487961E-2</v>
      </c>
      <c r="O25" s="31">
        <f t="shared" si="13"/>
        <v>0.62377371127821046</v>
      </c>
      <c r="P25" s="188">
        <f t="shared" si="14"/>
        <v>50.167836079839795</v>
      </c>
      <c r="Q25" s="188">
        <f t="shared" si="15"/>
        <v>8.0313181324861898</v>
      </c>
      <c r="R25" s="188">
        <f t="shared" si="16"/>
        <v>3.8967773733246043</v>
      </c>
      <c r="S25" s="188">
        <f t="shared" si="17"/>
        <v>39.298457931061016</v>
      </c>
      <c r="T25" s="86">
        <f t="shared" si="18"/>
        <v>101.39438951671161</v>
      </c>
      <c r="U25" s="87"/>
      <c r="V25" s="24" t="s">
        <v>364</v>
      </c>
      <c r="W25" s="188">
        <v>550.93999999999994</v>
      </c>
      <c r="X25" s="188">
        <v>541.16</v>
      </c>
      <c r="Y25" s="188">
        <v>358.59999999999997</v>
      </c>
      <c r="Z25" s="188">
        <v>179.29999999999998</v>
      </c>
      <c r="AA25" s="188">
        <f t="shared" si="4"/>
        <v>1629.9999999999998</v>
      </c>
      <c r="AB25" s="31">
        <f xml:space="preserve"> SQRT(Z25/AA25 + W25/AA25) - AD25</f>
        <v>0.33766554219172046</v>
      </c>
      <c r="AC25" s="31">
        <f xml:space="preserve"> SQRT(Z25/AA25 + X25/AA25) - AD25</f>
        <v>0.33316832650824652</v>
      </c>
      <c r="AD25" s="31">
        <f>SQRT(Z25/AA25)</f>
        <v>0.33166247903553997</v>
      </c>
      <c r="AE25" s="299">
        <f xml:space="preserve"> 1 - (AB25 +AC25 + AD25)</f>
        <v>-2.4963477355068875E-3</v>
      </c>
      <c r="AF25" s="31">
        <f t="shared" si="19"/>
        <v>0.39366103759581328</v>
      </c>
      <c r="AG25" s="31">
        <f t="shared" si="20"/>
        <v>0.38841804306117012</v>
      </c>
      <c r="AH25" s="31">
        <f t="shared" si="21"/>
        <v>0.38923975351695111</v>
      </c>
      <c r="AI25" s="86">
        <f>(AF25^2 + (2*AF25*AH25)) * AA25</f>
        <v>752.12448270150026</v>
      </c>
      <c r="AJ25" s="86">
        <f xml:space="preserve"> (AG25^2 + (2*AG25 * AH25)) * AA25</f>
        <v>738.78782246310664</v>
      </c>
      <c r="AK25" s="86">
        <f xml:space="preserve"> (2*AF25*AG25) * AA25</f>
        <v>498.47046251880926</v>
      </c>
      <c r="AL25" s="86">
        <f>AH25^2 * AA25</f>
        <v>246.95736472023702</v>
      </c>
      <c r="AM25" s="86">
        <f t="shared" si="5"/>
        <v>2236.3401324036531</v>
      </c>
    </row>
    <row r="26" spans="2:39" s="30" customFormat="1" ht="20.100000000000001" customHeight="1" x14ac:dyDescent="0.3">
      <c r="B26" s="87"/>
      <c r="C26" s="87" t="s">
        <v>81</v>
      </c>
      <c r="D26" s="86">
        <v>44</v>
      </c>
      <c r="E26" s="86">
        <v>18</v>
      </c>
      <c r="F26" s="86">
        <v>9</v>
      </c>
      <c r="G26" s="86">
        <v>30</v>
      </c>
      <c r="H26" s="86">
        <f t="shared" si="6"/>
        <v>101</v>
      </c>
      <c r="I26" s="31">
        <f t="shared" si="7"/>
        <v>0.3109590416644793</v>
      </c>
      <c r="J26" s="31">
        <f t="shared" si="8"/>
        <v>0.14437767291114156</v>
      </c>
      <c r="K26" s="31">
        <f t="shared" si="9"/>
        <v>0.54500431463456966</v>
      </c>
      <c r="L26" s="299">
        <f t="shared" si="10"/>
        <v>-3.4102921019041332E-4</v>
      </c>
      <c r="M26" s="31">
        <f t="shared" si="11"/>
        <v>0.31090601860628908</v>
      </c>
      <c r="N26" s="31">
        <f t="shared" si="12"/>
        <v>0.14435305440926055</v>
      </c>
      <c r="O26" s="31">
        <f t="shared" si="13"/>
        <v>0.54712168192065258</v>
      </c>
      <c r="P26" s="188">
        <f t="shared" si="14"/>
        <v>44.123809404430602</v>
      </c>
      <c r="Q26" s="188">
        <f t="shared" si="15"/>
        <v>18.058312791638752</v>
      </c>
      <c r="R26" s="188">
        <f t="shared" si="16"/>
        <v>9.0658071508481246</v>
      </c>
      <c r="S26" s="188">
        <f t="shared" si="17"/>
        <v>30.233555617596057</v>
      </c>
      <c r="T26" s="86">
        <f t="shared" si="18"/>
        <v>101.48148496451354</v>
      </c>
      <c r="U26" s="87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2:39" s="30" customFormat="1" ht="20.100000000000001" customHeight="1" x14ac:dyDescent="0.3">
      <c r="B27" s="87"/>
      <c r="C27" s="87" t="s">
        <v>125</v>
      </c>
      <c r="D27" s="86">
        <v>37</v>
      </c>
      <c r="E27" s="86">
        <v>16</v>
      </c>
      <c r="F27" s="86">
        <v>5</v>
      </c>
      <c r="G27" s="86">
        <v>42</v>
      </c>
      <c r="H27" s="86">
        <f t="shared" si="6"/>
        <v>100</v>
      </c>
      <c r="I27" s="31">
        <f t="shared" si="7"/>
        <v>0.24074537189077294</v>
      </c>
      <c r="J27" s="31">
        <f t="shared" si="8"/>
        <v>0.11350324074560481</v>
      </c>
      <c r="K27" s="31">
        <f t="shared" si="9"/>
        <v>0.64807406984078597</v>
      </c>
      <c r="L27" s="299">
        <f t="shared" si="10"/>
        <v>-2.3226824771636068E-3</v>
      </c>
      <c r="M27" s="31">
        <f t="shared" si="11"/>
        <v>0.24046578436239846</v>
      </c>
      <c r="N27" s="31">
        <f t="shared" si="12"/>
        <v>0.11337142475141426</v>
      </c>
      <c r="O27" s="31">
        <f t="shared" si="13"/>
        <v>0.64952954278329433</v>
      </c>
      <c r="P27" s="188">
        <f t="shared" si="14"/>
        <v>37.020305539289332</v>
      </c>
      <c r="Q27" s="188">
        <f t="shared" si="15"/>
        <v>16.012925931711912</v>
      </c>
      <c r="R27" s="188">
        <f t="shared" si="16"/>
        <v>5.4523897154262935</v>
      </c>
      <c r="S27" s="188">
        <f t="shared" si="17"/>
        <v>42.188862694827542</v>
      </c>
      <c r="T27" s="86">
        <f t="shared" si="18"/>
        <v>100.67448388125507</v>
      </c>
      <c r="U27" s="87"/>
      <c r="V27" s="59" t="s">
        <v>299</v>
      </c>
      <c r="W27" s="27"/>
      <c r="X27" s="27"/>
      <c r="Y27" s="86"/>
      <c r="Z27" s="86"/>
      <c r="AA27" s="86"/>
      <c r="AB27" s="31"/>
      <c r="AC27" s="31"/>
      <c r="AD27" s="31"/>
      <c r="AE27" s="299"/>
      <c r="AF27" s="31"/>
      <c r="AG27" s="31"/>
      <c r="AH27" s="31"/>
    </row>
    <row r="28" spans="2:39" s="30" customFormat="1" ht="20.100000000000001" customHeight="1" x14ac:dyDescent="0.3">
      <c r="B28" s="87"/>
      <c r="C28" s="203" t="s">
        <v>129</v>
      </c>
      <c r="D28" s="113">
        <v>470</v>
      </c>
      <c r="E28" s="113">
        <v>100</v>
      </c>
      <c r="F28" s="113">
        <v>47</v>
      </c>
      <c r="G28" s="113">
        <v>380</v>
      </c>
      <c r="H28" s="86">
        <f t="shared" si="6"/>
        <v>997</v>
      </c>
      <c r="I28" s="31">
        <f t="shared" si="7"/>
        <v>0.30597234869161927</v>
      </c>
      <c r="J28" s="31">
        <f t="shared" si="8"/>
        <v>7.649374953975685E-2</v>
      </c>
      <c r="K28" s="31">
        <f t="shared" si="9"/>
        <v>0.61736814810198348</v>
      </c>
      <c r="L28" s="299">
        <f t="shared" si="10"/>
        <v>1.6575366664040025E-4</v>
      </c>
      <c r="M28" s="31">
        <f t="shared" si="11"/>
        <v>0.30599770671096232</v>
      </c>
      <c r="N28" s="31">
        <f t="shared" si="12"/>
        <v>7.6500089099487481E-2</v>
      </c>
      <c r="O28" s="31">
        <f t="shared" si="13"/>
        <v>0.6196301722668871</v>
      </c>
      <c r="P28" s="188">
        <f t="shared" si="14"/>
        <v>471.42688369766745</v>
      </c>
      <c r="Q28" s="188">
        <f t="shared" si="15"/>
        <v>100.35382303530524</v>
      </c>
      <c r="R28" s="188">
        <f t="shared" si="16"/>
        <v>46.677250544289151</v>
      </c>
      <c r="S28" s="188">
        <f t="shared" si="17"/>
        <v>382.78972573234171</v>
      </c>
      <c r="T28" s="86">
        <f t="shared" si="18"/>
        <v>1001.2476830096035</v>
      </c>
      <c r="U28" s="87"/>
      <c r="V28" s="27" t="s">
        <v>374</v>
      </c>
      <c r="W28" s="27"/>
      <c r="X28" s="27"/>
      <c r="Y28" s="86"/>
      <c r="Z28" s="86"/>
      <c r="AA28" s="86"/>
      <c r="AB28" s="31"/>
      <c r="AC28" s="31"/>
      <c r="AD28" s="31"/>
      <c r="AG28" s="27"/>
      <c r="AH28" s="30" t="s">
        <v>379</v>
      </c>
    </row>
    <row r="29" spans="2:39" s="30" customFormat="1" ht="20.100000000000001" customHeight="1" thickBot="1" x14ac:dyDescent="0.35">
      <c r="B29" s="87"/>
      <c r="C29" s="203" t="s">
        <v>112</v>
      </c>
      <c r="D29" s="113">
        <v>500</v>
      </c>
      <c r="E29" s="113">
        <v>80</v>
      </c>
      <c r="F29" s="113">
        <v>39</v>
      </c>
      <c r="G29" s="113">
        <v>450</v>
      </c>
      <c r="H29" s="86">
        <f t="shared" si="6"/>
        <v>1069</v>
      </c>
      <c r="I29" s="31">
        <f t="shared" si="7"/>
        <v>0.29388898608806502</v>
      </c>
      <c r="J29" s="31">
        <f t="shared" si="8"/>
        <v>5.5314089419634449E-2</v>
      </c>
      <c r="K29" s="31">
        <f t="shared" si="9"/>
        <v>0.64880980477251027</v>
      </c>
      <c r="L29" s="299">
        <f t="shared" si="10"/>
        <v>1.9871197197902646E-3</v>
      </c>
      <c r="M29" s="31">
        <f t="shared" si="11"/>
        <v>0.29418098238790741</v>
      </c>
      <c r="N29" s="31">
        <f t="shared" si="12"/>
        <v>5.5369047278568451E-2</v>
      </c>
      <c r="O29" s="31">
        <f t="shared" si="13"/>
        <v>0.65166730802362982</v>
      </c>
      <c r="P29" s="188">
        <f t="shared" si="14"/>
        <v>502.38585898847197</v>
      </c>
      <c r="Q29" s="188">
        <f t="shared" si="15"/>
        <v>80.42100616093731</v>
      </c>
      <c r="R29" s="188">
        <f t="shared" si="16"/>
        <v>34.82485730425978</v>
      </c>
      <c r="S29" s="188">
        <f t="shared" si="17"/>
        <v>453.97252969069115</v>
      </c>
      <c r="T29" s="86">
        <f t="shared" si="18"/>
        <v>1071.6042521443603</v>
      </c>
      <c r="U29" s="87"/>
      <c r="V29" s="27"/>
      <c r="W29" s="86" t="s">
        <v>376</v>
      </c>
      <c r="X29" s="27"/>
      <c r="Y29" s="86"/>
      <c r="Z29" s="86"/>
      <c r="AA29" s="86"/>
      <c r="AB29" s="31"/>
      <c r="AC29" s="31"/>
      <c r="AD29" s="31"/>
      <c r="AG29" s="86"/>
      <c r="AH29" s="188"/>
      <c r="AI29" s="505" t="s">
        <v>370</v>
      </c>
      <c r="AJ29" s="505" t="s">
        <v>371</v>
      </c>
      <c r="AK29" s="505" t="s">
        <v>372</v>
      </c>
    </row>
    <row r="30" spans="2:39" s="30" customFormat="1" ht="20.100000000000001" customHeight="1" x14ac:dyDescent="0.3">
      <c r="B30" s="87"/>
      <c r="C30" s="203" t="s">
        <v>81</v>
      </c>
      <c r="D30" s="188">
        <v>440</v>
      </c>
      <c r="E30" s="188">
        <v>180</v>
      </c>
      <c r="F30" s="188">
        <v>91</v>
      </c>
      <c r="G30" s="188">
        <v>300</v>
      </c>
      <c r="H30" s="86">
        <f t="shared" si="6"/>
        <v>1011</v>
      </c>
      <c r="I30" s="31">
        <f t="shared" si="7"/>
        <v>0.31080521576257825</v>
      </c>
      <c r="J30" s="31">
        <f t="shared" si="8"/>
        <v>0.1443062518467112</v>
      </c>
      <c r="K30" s="31">
        <f t="shared" si="9"/>
        <v>0.54473471070284329</v>
      </c>
      <c r="L30" s="299">
        <f t="shared" si="10"/>
        <v>1.5382168786726158E-4</v>
      </c>
      <c r="M30" s="31">
        <f t="shared" si="11"/>
        <v>0.31082912005402152</v>
      </c>
      <c r="N30" s="31">
        <f t="shared" si="12"/>
        <v>0.14431735056232561</v>
      </c>
      <c r="O30" s="31">
        <f t="shared" si="13"/>
        <v>0.54698745216809341</v>
      </c>
      <c r="P30" s="188">
        <f t="shared" si="14"/>
        <v>441.45719273580181</v>
      </c>
      <c r="Q30" s="188">
        <f t="shared" si="15"/>
        <v>180.67283508073808</v>
      </c>
      <c r="R30" s="188">
        <f t="shared" si="16"/>
        <v>90.702946939474771</v>
      </c>
      <c r="S30" s="188">
        <f t="shared" si="17"/>
        <v>302.48642083046502</v>
      </c>
      <c r="T30" s="86">
        <f t="shared" si="18"/>
        <v>1015.3193955864797</v>
      </c>
      <c r="U30" s="87"/>
      <c r="V30" s="27"/>
      <c r="W30" s="27" t="s">
        <v>309</v>
      </c>
      <c r="X30" s="86"/>
      <c r="Y30" s="86"/>
      <c r="Z30" s="86"/>
      <c r="AA30" s="86"/>
      <c r="AB30" s="31"/>
      <c r="AC30" s="31"/>
      <c r="AD30" s="31"/>
      <c r="AG30" s="113"/>
      <c r="AH30" s="24" t="s">
        <v>307</v>
      </c>
      <c r="AI30" s="506" t="s">
        <v>378</v>
      </c>
      <c r="AJ30" s="503" t="s">
        <v>373</v>
      </c>
      <c r="AK30" s="507" t="s">
        <v>373</v>
      </c>
    </row>
    <row r="31" spans="2:39" s="30" customFormat="1" ht="20.100000000000001" customHeight="1" x14ac:dyDescent="0.3">
      <c r="B31" s="87"/>
      <c r="C31" s="203" t="s">
        <v>125</v>
      </c>
      <c r="D31" s="113">
        <v>370</v>
      </c>
      <c r="E31" s="113">
        <v>160</v>
      </c>
      <c r="F31" s="113">
        <v>55</v>
      </c>
      <c r="G31" s="113">
        <v>420</v>
      </c>
      <c r="H31" s="86">
        <f t="shared" si="6"/>
        <v>1005</v>
      </c>
      <c r="I31" s="31">
        <f t="shared" si="7"/>
        <v>0.24014575608574995</v>
      </c>
      <c r="J31" s="31">
        <f t="shared" si="8"/>
        <v>0.11322054232221312</v>
      </c>
      <c r="K31" s="31">
        <f t="shared" si="9"/>
        <v>0.64645993515545419</v>
      </c>
      <c r="L31" s="299">
        <f t="shared" si="10"/>
        <v>1.7376643658273405E-4</v>
      </c>
      <c r="M31" s="31">
        <f t="shared" si="11"/>
        <v>0.24016662072189771</v>
      </c>
      <c r="N31" s="31">
        <f t="shared" si="12"/>
        <v>0.11323037928730678</v>
      </c>
      <c r="O31" s="31">
        <f t="shared" si="13"/>
        <v>0.64872696917972994</v>
      </c>
      <c r="P31" s="188">
        <f t="shared" si="14"/>
        <v>371.13155929522014</v>
      </c>
      <c r="Q31" s="188">
        <f t="shared" si="15"/>
        <v>160.53098194350795</v>
      </c>
      <c r="R31" s="188">
        <f t="shared" si="16"/>
        <v>54.660256688547371</v>
      </c>
      <c r="S31" s="188">
        <f t="shared" si="17"/>
        <v>422.95091394382388</v>
      </c>
      <c r="T31" s="86">
        <f t="shared" si="18"/>
        <v>1009.2737118710993</v>
      </c>
      <c r="U31" s="87"/>
      <c r="V31" s="299"/>
      <c r="W31" s="31" t="s">
        <v>380</v>
      </c>
      <c r="X31" s="113"/>
      <c r="Y31" s="86"/>
      <c r="Z31" s="86"/>
      <c r="AA31" s="86"/>
      <c r="AB31" s="31"/>
      <c r="AC31" s="31"/>
      <c r="AD31" s="31"/>
      <c r="AG31" s="31"/>
      <c r="AH31" s="24" t="s">
        <v>306</v>
      </c>
      <c r="AI31" s="508" t="s">
        <v>377</v>
      </c>
      <c r="AJ31" s="504" t="s">
        <v>378</v>
      </c>
      <c r="AK31" s="509" t="s">
        <v>373</v>
      </c>
    </row>
    <row r="32" spans="2:39" s="30" customFormat="1" ht="20.100000000000001" customHeight="1" thickBot="1" x14ac:dyDescent="0.35">
      <c r="B32" s="87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87"/>
      <c r="V32" s="86" t="s">
        <v>375</v>
      </c>
      <c r="W32" s="27"/>
      <c r="X32" s="31"/>
      <c r="Y32" s="113"/>
      <c r="Z32" s="113"/>
      <c r="AA32" s="86"/>
      <c r="AB32" s="31"/>
      <c r="AC32" s="31"/>
      <c r="AD32" s="31"/>
      <c r="AG32" s="31"/>
      <c r="AH32" s="24" t="s">
        <v>364</v>
      </c>
      <c r="AI32" s="510" t="s">
        <v>377</v>
      </c>
      <c r="AJ32" s="511" t="s">
        <v>377</v>
      </c>
      <c r="AK32" s="512" t="s">
        <v>378</v>
      </c>
    </row>
    <row r="33" spans="2:39" s="30" customFormat="1" ht="20.100000000000001" customHeight="1" x14ac:dyDescent="0.3">
      <c r="B33" s="87"/>
      <c r="C33" s="59" t="s">
        <v>299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 s="87"/>
      <c r="V33" s="27"/>
      <c r="W33" s="495" t="s">
        <v>363</v>
      </c>
      <c r="X33" s="31"/>
      <c r="Y33" s="113"/>
      <c r="Z33" s="113"/>
      <c r="AA33" s="86"/>
      <c r="AB33" s="31"/>
      <c r="AC33" s="31"/>
      <c r="AD33" s="31"/>
      <c r="AH33"/>
      <c r="AI33"/>
      <c r="AJ33"/>
      <c r="AK33"/>
      <c r="AL33"/>
      <c r="AM33"/>
    </row>
    <row r="34" spans="2:39" s="30" customFormat="1" ht="20.100000000000001" customHeight="1" x14ac:dyDescent="0.3">
      <c r="B34"/>
      <c r="C34" s="416" t="s">
        <v>390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87"/>
      <c r="V34" s="27"/>
      <c r="W34" s="86" t="s">
        <v>362</v>
      </c>
      <c r="X34" s="188"/>
      <c r="Y34" s="188"/>
      <c r="Z34" s="188"/>
      <c r="AA34" s="86"/>
      <c r="AB34" s="31"/>
      <c r="AC34" s="31"/>
      <c r="AD34" s="31"/>
      <c r="AH34"/>
      <c r="AI34"/>
      <c r="AJ34"/>
      <c r="AK34"/>
      <c r="AL34"/>
      <c r="AM34"/>
    </row>
    <row r="35" spans="2:39" s="30" customFormat="1" ht="20.100000000000001" customHeight="1" x14ac:dyDescent="0.3">
      <c r="B35"/>
      <c r="C35" s="30" t="s">
        <v>381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87"/>
      <c r="V35" s="299"/>
      <c r="W35" s="31" t="s">
        <v>310</v>
      </c>
      <c r="X35" s="113"/>
      <c r="Y35" s="113"/>
      <c r="Z35" s="113"/>
      <c r="AA35" s="86"/>
      <c r="AB35" s="31"/>
      <c r="AC35" s="31"/>
      <c r="AD35" s="31"/>
      <c r="AH35"/>
      <c r="AI35"/>
      <c r="AJ35"/>
      <c r="AK35"/>
      <c r="AL35"/>
      <c r="AM35"/>
    </row>
    <row r="36" spans="2:39" s="30" customFormat="1" ht="20.100000000000001" customHeight="1" x14ac:dyDescent="0.3">
      <c r="B36"/>
      <c r="C36" s="30" t="s">
        <v>391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 s="87"/>
      <c r="V36"/>
      <c r="W36"/>
      <c r="X36"/>
      <c r="Y36"/>
      <c r="Z36"/>
      <c r="AA36"/>
      <c r="AB36"/>
      <c r="AC36"/>
      <c r="AD36"/>
      <c r="AE36" s="218"/>
      <c r="AF36" s="111"/>
      <c r="AG36"/>
      <c r="AH36"/>
      <c r="AI36"/>
      <c r="AJ36"/>
      <c r="AK36"/>
      <c r="AL36"/>
      <c r="AM36"/>
    </row>
  </sheetData>
  <mergeCells count="10">
    <mergeCell ref="AF21:AH21"/>
    <mergeCell ref="AI21:AL21"/>
    <mergeCell ref="B2:J2"/>
    <mergeCell ref="U2:AC2"/>
    <mergeCell ref="D21:G21"/>
    <mergeCell ref="I21:K21"/>
    <mergeCell ref="M21:O21"/>
    <mergeCell ref="P21:S21"/>
    <mergeCell ref="W21:Z21"/>
    <mergeCell ref="AB21:AD2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BBB2-3D96-4B21-A218-F638FB4E800D}">
  <sheetPr>
    <tabColor rgb="FF00B050"/>
  </sheetPr>
  <dimension ref="A1:AB98"/>
  <sheetViews>
    <sheetView workbookViewId="0">
      <pane ySplit="6" topLeftCell="A26" activePane="bottomLeft" state="frozen"/>
      <selection pane="bottomLeft" activeCell="I6" sqref="I6"/>
    </sheetView>
  </sheetViews>
  <sheetFormatPr defaultRowHeight="15" x14ac:dyDescent="0.25"/>
  <cols>
    <col min="2" max="2" width="31.5703125" customWidth="1"/>
    <col min="3" max="6" width="8.7109375" style="38" customWidth="1"/>
    <col min="7" max="9" width="8.7109375" customWidth="1"/>
    <col min="10" max="10" width="8.7109375" style="178" customWidth="1"/>
    <col min="11" max="17" width="8.7109375" customWidth="1"/>
    <col min="18" max="18" width="8.7109375" style="178" customWidth="1"/>
    <col min="24" max="24" width="4.7109375" customWidth="1"/>
  </cols>
  <sheetData>
    <row r="1" spans="1:28" x14ac:dyDescent="0.25">
      <c r="B1" s="1" t="s">
        <v>245</v>
      </c>
      <c r="C1" s="1"/>
      <c r="D1" s="1"/>
      <c r="E1" s="1"/>
      <c r="F1" s="1"/>
      <c r="G1" s="1"/>
      <c r="H1" s="1"/>
      <c r="I1" s="1"/>
      <c r="J1" s="176"/>
      <c r="K1" s="123"/>
      <c r="L1" s="34"/>
      <c r="M1" s="34"/>
    </row>
    <row r="2" spans="1:28" s="3" customFormat="1" ht="21.75" thickBot="1" x14ac:dyDescent="0.4">
      <c r="B2" s="32" t="s">
        <v>325</v>
      </c>
      <c r="C2" s="32"/>
      <c r="D2" s="32"/>
      <c r="E2" s="32"/>
      <c r="F2" s="32"/>
      <c r="G2" s="32"/>
      <c r="H2" s="32"/>
      <c r="I2" s="32"/>
      <c r="J2" s="177"/>
      <c r="K2" s="32"/>
      <c r="L2" s="32"/>
      <c r="M2" s="32"/>
      <c r="N2" s="32"/>
      <c r="O2" s="32"/>
      <c r="P2" s="32"/>
      <c r="Q2" s="32"/>
      <c r="R2" s="177"/>
      <c r="T2" s="3" t="s">
        <v>548</v>
      </c>
    </row>
    <row r="3" spans="1:28" ht="19.5" thickBot="1" x14ac:dyDescent="0.35">
      <c r="K3" s="622" t="s">
        <v>185</v>
      </c>
      <c r="L3" s="623"/>
      <c r="M3" s="623"/>
      <c r="N3" s="623"/>
      <c r="O3" s="623"/>
      <c r="P3" s="623"/>
      <c r="Q3" s="624"/>
      <c r="T3" t="s">
        <v>550</v>
      </c>
    </row>
    <row r="4" spans="1:28" ht="21" x14ac:dyDescent="0.35">
      <c r="B4" s="44"/>
      <c r="C4" s="616" t="s">
        <v>47</v>
      </c>
      <c r="D4" s="619"/>
      <c r="E4" s="619"/>
      <c r="F4" s="619"/>
      <c r="G4" s="617" t="s">
        <v>223</v>
      </c>
      <c r="H4" s="617"/>
      <c r="I4" s="617"/>
      <c r="J4" s="180" t="s">
        <v>48</v>
      </c>
      <c r="K4" s="625" t="s">
        <v>224</v>
      </c>
      <c r="L4" s="625"/>
      <c r="M4" s="625"/>
      <c r="N4" s="626" t="s">
        <v>225</v>
      </c>
      <c r="O4" s="627"/>
      <c r="P4" s="627"/>
      <c r="Q4" s="627"/>
      <c r="R4" s="181"/>
      <c r="T4" s="628" t="s">
        <v>335</v>
      </c>
      <c r="U4" s="628"/>
      <c r="V4" s="628"/>
      <c r="W4" s="628"/>
      <c r="Y4" s="620" t="s">
        <v>549</v>
      </c>
      <c r="Z4" s="621"/>
      <c r="AA4" s="621"/>
      <c r="AB4" s="621"/>
    </row>
    <row r="5" spans="1:28" ht="21" customHeight="1" x14ac:dyDescent="0.35">
      <c r="A5" s="46" t="s">
        <v>255</v>
      </c>
      <c r="B5" s="47" t="s">
        <v>49</v>
      </c>
      <c r="C5" s="128" t="s">
        <v>50</v>
      </c>
      <c r="D5" s="128" t="s">
        <v>51</v>
      </c>
      <c r="E5" s="128" t="s">
        <v>52</v>
      </c>
      <c r="F5" s="128" t="s">
        <v>53</v>
      </c>
      <c r="G5" s="49" t="s">
        <v>54</v>
      </c>
      <c r="H5" s="50" t="s">
        <v>55</v>
      </c>
      <c r="I5" s="50" t="s">
        <v>56</v>
      </c>
      <c r="J5" s="179" t="s">
        <v>57</v>
      </c>
      <c r="K5" s="51" t="s">
        <v>54</v>
      </c>
      <c r="L5" s="52" t="s">
        <v>55</v>
      </c>
      <c r="M5" s="52" t="s">
        <v>56</v>
      </c>
      <c r="N5" s="53" t="s">
        <v>54</v>
      </c>
      <c r="O5" s="54" t="s">
        <v>55</v>
      </c>
      <c r="P5" s="54" t="s">
        <v>58</v>
      </c>
      <c r="Q5" s="54" t="s">
        <v>56</v>
      </c>
      <c r="R5" s="182" t="s">
        <v>25</v>
      </c>
      <c r="T5" s="128" t="s">
        <v>50</v>
      </c>
      <c r="U5" s="128" t="s">
        <v>51</v>
      </c>
      <c r="V5" s="128" t="s">
        <v>52</v>
      </c>
      <c r="W5" s="128" t="s">
        <v>53</v>
      </c>
      <c r="Y5" s="53" t="s">
        <v>54</v>
      </c>
      <c r="Z5" s="54" t="s">
        <v>55</v>
      </c>
      <c r="AA5" s="54" t="s">
        <v>58</v>
      </c>
      <c r="AB5" s="54" t="s">
        <v>56</v>
      </c>
    </row>
    <row r="6" spans="1:28" ht="15.75" x14ac:dyDescent="0.25">
      <c r="A6" s="186">
        <v>1</v>
      </c>
      <c r="B6" s="45" t="s">
        <v>262</v>
      </c>
      <c r="C6" s="256">
        <v>0.26993865030674846</v>
      </c>
      <c r="D6" s="256">
        <v>0.16564417177914109</v>
      </c>
      <c r="E6" s="256">
        <v>2.4539877300613498E-2</v>
      </c>
      <c r="F6" s="256">
        <v>0.53987730061349692</v>
      </c>
      <c r="G6" s="111">
        <f t="shared" ref="G6" si="0" xml:space="preserve"> SQRT(F6 + C6) - I6</f>
        <v>0.16513431296829617</v>
      </c>
      <c r="H6" s="111">
        <f t="shared" ref="H6" si="1" xml:space="preserve"> SQRT(F6 + D6) - I6</f>
        <v>0.10518982434199697</v>
      </c>
      <c r="I6" s="111">
        <f t="shared" ref="I6" si="2">SQRT(F6)</f>
        <v>0.73476343173398129</v>
      </c>
      <c r="J6" s="241">
        <f t="shared" ref="J6" si="3" xml:space="preserve"> 1 - SUM(G6:I6)</f>
        <v>-5.0875690442744315E-3</v>
      </c>
      <c r="K6" s="111">
        <f t="shared" ref="K6" si="4">G6*(1 + J6/2)</f>
        <v>0.16471424685889366</v>
      </c>
      <c r="L6" s="111">
        <f t="shared" ref="L6" si="5">H6*(1 + J6/2)</f>
        <v>0.10492224409494946</v>
      </c>
      <c r="M6" s="111">
        <f t="shared" ref="M6" si="6">(I6 +J6/2) * (1 + J6/2)</f>
        <v>0.73035703820646181</v>
      </c>
      <c r="N6" s="514">
        <f t="shared" ref="N6" si="7">K6^2 + 2*K6*M6</f>
        <v>0.26773120209083168</v>
      </c>
      <c r="O6" s="514">
        <f t="shared" ref="O6" si="8">L6^2 + 2*L6*M6</f>
        <v>0.16427007618424558</v>
      </c>
      <c r="P6" s="514">
        <f t="shared" ref="P6" si="9">2*K6*L6</f>
        <v>3.4564376829689207E-2</v>
      </c>
      <c r="Q6" s="514">
        <f t="shared" ref="Q6" si="10">M6^2</f>
        <v>0.53342140325771514</v>
      </c>
      <c r="R6" s="515">
        <f t="shared" ref="R6" si="11">SUM(N6:Q6)</f>
        <v>0.9999870583624817</v>
      </c>
      <c r="T6" s="519">
        <v>270</v>
      </c>
      <c r="U6" s="519">
        <v>165</v>
      </c>
      <c r="V6" s="519">
        <v>25</v>
      </c>
      <c r="W6" s="519">
        <v>540</v>
      </c>
      <c r="X6" s="46"/>
      <c r="Y6" s="555">
        <f>N6*1000</f>
        <v>267.73120209083169</v>
      </c>
      <c r="Z6" s="555">
        <f t="shared" ref="Z6:AB6" si="12">O6*1000</f>
        <v>164.27007618424557</v>
      </c>
      <c r="AA6" s="555">
        <f t="shared" si="12"/>
        <v>34.564376829689209</v>
      </c>
      <c r="AB6" s="555">
        <f t="shared" si="12"/>
        <v>533.42140325771516</v>
      </c>
    </row>
    <row r="7" spans="1:28" ht="15.75" x14ac:dyDescent="0.25">
      <c r="A7" s="186">
        <v>2</v>
      </c>
      <c r="B7" s="145" t="s">
        <v>192</v>
      </c>
      <c r="C7" s="252">
        <v>0.39</v>
      </c>
      <c r="D7" s="252">
        <v>0</v>
      </c>
      <c r="E7" s="252">
        <v>0</v>
      </c>
      <c r="F7" s="252">
        <v>0.61</v>
      </c>
      <c r="G7" s="111"/>
      <c r="H7" s="111"/>
      <c r="I7" s="111"/>
      <c r="J7" s="241"/>
      <c r="K7" s="111"/>
      <c r="L7" s="111"/>
      <c r="M7" s="111"/>
      <c r="N7" s="111"/>
      <c r="O7" s="111"/>
      <c r="P7" s="111"/>
      <c r="Q7" s="111"/>
      <c r="R7" s="241"/>
      <c r="T7">
        <v>390</v>
      </c>
      <c r="U7">
        <v>0</v>
      </c>
      <c r="V7">
        <v>0</v>
      </c>
      <c r="W7">
        <v>610</v>
      </c>
      <c r="Y7" s="555">
        <f t="shared" ref="Y7:Y70" si="13">N7*1000</f>
        <v>0</v>
      </c>
      <c r="Z7" s="555">
        <f t="shared" ref="Z7:Z70" si="14">O7*1000</f>
        <v>0</v>
      </c>
      <c r="AA7" s="555">
        <f t="shared" ref="AA7:AA70" si="15">P7*1000</f>
        <v>0</v>
      </c>
      <c r="AB7" s="555">
        <f t="shared" ref="AB7:AB70" si="16">Q7*1000</f>
        <v>0</v>
      </c>
    </row>
    <row r="8" spans="1:28" ht="15.75" x14ac:dyDescent="0.25">
      <c r="A8" s="186">
        <v>3</v>
      </c>
      <c r="B8" s="145" t="s">
        <v>62</v>
      </c>
      <c r="C8" s="252">
        <v>0.27</v>
      </c>
      <c r="D8" s="252">
        <v>0.25</v>
      </c>
      <c r="E8" s="252">
        <v>0.05</v>
      </c>
      <c r="F8" s="252">
        <v>0.43</v>
      </c>
      <c r="G8" s="111"/>
      <c r="H8" s="111"/>
      <c r="I8" s="111"/>
      <c r="J8" s="241"/>
      <c r="K8" s="111"/>
      <c r="L8" s="111"/>
      <c r="M8" s="111"/>
      <c r="N8" s="111"/>
      <c r="O8" s="111"/>
      <c r="P8" s="111"/>
      <c r="Q8" s="111"/>
      <c r="R8" s="241"/>
      <c r="T8">
        <v>270</v>
      </c>
      <c r="U8">
        <v>250</v>
      </c>
      <c r="V8">
        <v>50</v>
      </c>
      <c r="W8">
        <v>430</v>
      </c>
      <c r="Y8" s="555">
        <f t="shared" si="13"/>
        <v>0</v>
      </c>
      <c r="Z8" s="555">
        <f t="shared" si="14"/>
        <v>0</v>
      </c>
      <c r="AA8" s="555">
        <f t="shared" si="15"/>
        <v>0</v>
      </c>
      <c r="AB8" s="555">
        <f t="shared" si="16"/>
        <v>0</v>
      </c>
    </row>
    <row r="9" spans="1:28" ht="15.75" x14ac:dyDescent="0.25">
      <c r="A9" s="186">
        <v>4</v>
      </c>
      <c r="B9" s="253" t="s">
        <v>63</v>
      </c>
      <c r="C9" s="252">
        <v>0.32</v>
      </c>
      <c r="D9" s="252">
        <v>0.32</v>
      </c>
      <c r="E9" s="252">
        <v>0.18</v>
      </c>
      <c r="F9" s="252">
        <v>0.17</v>
      </c>
      <c r="G9" s="111"/>
      <c r="H9" s="111"/>
      <c r="I9" s="111"/>
      <c r="J9" s="241"/>
      <c r="K9" s="111"/>
      <c r="L9" s="111"/>
      <c r="M9" s="111"/>
      <c r="N9" s="111"/>
      <c r="O9" s="111"/>
      <c r="P9" s="111"/>
      <c r="Q9" s="111"/>
      <c r="R9" s="241"/>
      <c r="T9">
        <v>325</v>
      </c>
      <c r="U9">
        <v>325</v>
      </c>
      <c r="V9">
        <v>180</v>
      </c>
      <c r="W9">
        <v>170</v>
      </c>
      <c r="Y9" s="555">
        <f t="shared" si="13"/>
        <v>0</v>
      </c>
      <c r="Z9" s="555">
        <f t="shared" si="14"/>
        <v>0</v>
      </c>
      <c r="AA9" s="555">
        <f t="shared" si="15"/>
        <v>0</v>
      </c>
      <c r="AB9" s="555">
        <f t="shared" si="16"/>
        <v>0</v>
      </c>
    </row>
    <row r="10" spans="1:28" ht="15.75" x14ac:dyDescent="0.25">
      <c r="A10" s="186">
        <v>5</v>
      </c>
      <c r="B10" s="145" t="s">
        <v>64</v>
      </c>
      <c r="C10" s="252">
        <v>0.43</v>
      </c>
      <c r="D10" s="252">
        <v>0.13</v>
      </c>
      <c r="E10" s="252">
        <v>0.06</v>
      </c>
      <c r="F10" s="252">
        <v>0.38</v>
      </c>
      <c r="G10" s="111"/>
      <c r="H10" s="111"/>
      <c r="I10" s="111"/>
      <c r="J10" s="241"/>
      <c r="K10" s="111"/>
      <c r="L10" s="111"/>
      <c r="M10" s="111"/>
      <c r="N10" s="111"/>
      <c r="O10" s="111"/>
      <c r="P10" s="111"/>
      <c r="Q10" s="111"/>
      <c r="R10" s="241"/>
      <c r="T10">
        <v>430</v>
      </c>
      <c r="U10">
        <v>130</v>
      </c>
      <c r="V10">
        <v>60</v>
      </c>
      <c r="W10">
        <v>380</v>
      </c>
      <c r="Y10" s="555">
        <f t="shared" si="13"/>
        <v>0</v>
      </c>
      <c r="Z10" s="555">
        <f t="shared" si="14"/>
        <v>0</v>
      </c>
      <c r="AA10" s="555">
        <f t="shared" si="15"/>
        <v>0</v>
      </c>
      <c r="AB10" s="555">
        <f t="shared" si="16"/>
        <v>0</v>
      </c>
    </row>
    <row r="11" spans="1:28" ht="15.75" x14ac:dyDescent="0.25">
      <c r="A11" s="254">
        <v>6</v>
      </c>
      <c r="B11" s="222" t="s">
        <v>65</v>
      </c>
      <c r="C11" s="255">
        <v>0.6</v>
      </c>
      <c r="D11" s="255">
        <v>0.23</v>
      </c>
      <c r="E11" s="255">
        <v>0.09</v>
      </c>
      <c r="F11" s="255">
        <v>0.09</v>
      </c>
      <c r="G11" s="111"/>
      <c r="H11" s="111"/>
      <c r="I11" s="111"/>
      <c r="J11" s="241"/>
      <c r="K11" s="111"/>
      <c r="L11" s="111"/>
      <c r="M11" s="111"/>
      <c r="N11" s="111"/>
      <c r="O11" s="111"/>
      <c r="P11" s="111"/>
      <c r="Q11" s="111"/>
      <c r="R11" s="241"/>
      <c r="T11">
        <v>590</v>
      </c>
      <c r="U11">
        <v>230</v>
      </c>
      <c r="V11">
        <v>90</v>
      </c>
      <c r="W11">
        <v>90</v>
      </c>
      <c r="Y11" s="555">
        <f t="shared" si="13"/>
        <v>0</v>
      </c>
      <c r="Z11" s="555">
        <f t="shared" si="14"/>
        <v>0</v>
      </c>
      <c r="AA11" s="555">
        <f t="shared" si="15"/>
        <v>0</v>
      </c>
      <c r="AB11" s="555">
        <f t="shared" si="16"/>
        <v>0</v>
      </c>
    </row>
    <row r="12" spans="1:28" ht="15.75" x14ac:dyDescent="0.25">
      <c r="A12" s="186">
        <v>7</v>
      </c>
      <c r="B12" s="145" t="s">
        <v>66</v>
      </c>
      <c r="C12" s="252">
        <v>0.31</v>
      </c>
      <c r="D12" s="252">
        <v>0.28999999999999998</v>
      </c>
      <c r="E12" s="252">
        <v>0.06</v>
      </c>
      <c r="F12" s="252">
        <v>0.34</v>
      </c>
      <c r="G12" s="111"/>
      <c r="H12" s="111"/>
      <c r="I12" s="111"/>
      <c r="J12" s="241"/>
      <c r="K12" s="111"/>
      <c r="L12" s="111"/>
      <c r="M12" s="111"/>
      <c r="N12" s="111"/>
      <c r="O12" s="111"/>
      <c r="P12" s="111"/>
      <c r="Q12" s="111"/>
      <c r="R12" s="241"/>
      <c r="T12">
        <v>310</v>
      </c>
      <c r="U12">
        <v>290</v>
      </c>
      <c r="V12">
        <v>60</v>
      </c>
      <c r="W12">
        <v>340</v>
      </c>
      <c r="Y12" s="555">
        <f t="shared" si="13"/>
        <v>0</v>
      </c>
      <c r="Z12" s="555">
        <f t="shared" si="14"/>
        <v>0</v>
      </c>
      <c r="AA12" s="555">
        <f t="shared" si="15"/>
        <v>0</v>
      </c>
      <c r="AB12" s="555">
        <f t="shared" si="16"/>
        <v>0</v>
      </c>
    </row>
    <row r="13" spans="1:28" ht="15.75" x14ac:dyDescent="0.25">
      <c r="A13" s="186">
        <v>8</v>
      </c>
      <c r="B13" s="145" t="s">
        <v>67</v>
      </c>
      <c r="C13" s="252">
        <v>0.5</v>
      </c>
      <c r="D13" s="252">
        <v>0.13</v>
      </c>
      <c r="E13" s="252">
        <v>0.06</v>
      </c>
      <c r="F13" s="252">
        <v>0.31</v>
      </c>
      <c r="G13" s="111"/>
      <c r="H13" s="111"/>
      <c r="I13" s="111"/>
      <c r="J13" s="241"/>
      <c r="K13" s="111"/>
      <c r="L13" s="111"/>
      <c r="M13" s="111"/>
      <c r="N13" s="111"/>
      <c r="O13" s="111"/>
      <c r="P13" s="111"/>
      <c r="Q13" s="111"/>
      <c r="R13" s="241"/>
      <c r="T13">
        <v>500</v>
      </c>
      <c r="U13">
        <v>130</v>
      </c>
      <c r="V13">
        <v>60</v>
      </c>
      <c r="W13">
        <v>310</v>
      </c>
      <c r="Y13" s="555">
        <f t="shared" si="13"/>
        <v>0</v>
      </c>
      <c r="Z13" s="555">
        <f t="shared" si="14"/>
        <v>0</v>
      </c>
      <c r="AA13" s="555">
        <f t="shared" si="15"/>
        <v>0</v>
      </c>
      <c r="AB13" s="555">
        <f t="shared" si="16"/>
        <v>0</v>
      </c>
    </row>
    <row r="14" spans="1:28" ht="15.75" x14ac:dyDescent="0.25">
      <c r="A14" s="186">
        <v>9</v>
      </c>
      <c r="B14" s="145" t="s">
        <v>68</v>
      </c>
      <c r="C14" s="252">
        <v>0.28000000000000003</v>
      </c>
      <c r="D14" s="252">
        <v>0.27</v>
      </c>
      <c r="E14" s="252">
        <v>0.05</v>
      </c>
      <c r="F14" s="252">
        <v>0.4</v>
      </c>
      <c r="G14" s="111"/>
      <c r="H14" s="111"/>
      <c r="I14" s="111"/>
      <c r="J14" s="241"/>
      <c r="K14" s="111"/>
      <c r="L14" s="111"/>
      <c r="M14" s="111"/>
      <c r="N14" s="111"/>
      <c r="O14" s="111"/>
      <c r="P14" s="111"/>
      <c r="Q14" s="111"/>
      <c r="R14" s="241"/>
      <c r="T14">
        <v>280</v>
      </c>
      <c r="U14">
        <v>270</v>
      </c>
      <c r="V14">
        <v>50</v>
      </c>
      <c r="W14">
        <v>400</v>
      </c>
      <c r="Y14" s="555">
        <f t="shared" si="13"/>
        <v>0</v>
      </c>
      <c r="Z14" s="555">
        <f t="shared" si="14"/>
        <v>0</v>
      </c>
      <c r="AA14" s="555">
        <f t="shared" si="15"/>
        <v>0</v>
      </c>
      <c r="AB14" s="555">
        <f t="shared" si="16"/>
        <v>0</v>
      </c>
    </row>
    <row r="15" spans="1:28" ht="15.75" x14ac:dyDescent="0.25">
      <c r="A15" s="186">
        <v>10</v>
      </c>
      <c r="B15" s="145" t="s">
        <v>69</v>
      </c>
      <c r="C15" s="252">
        <v>0.44</v>
      </c>
      <c r="D15" s="252">
        <v>0.13</v>
      </c>
      <c r="E15" s="252">
        <v>0.06</v>
      </c>
      <c r="F15" s="252">
        <v>0.36</v>
      </c>
      <c r="G15" s="111"/>
      <c r="H15" s="111"/>
      <c r="I15" s="111"/>
      <c r="J15" s="241"/>
      <c r="K15" s="111"/>
      <c r="L15" s="111"/>
      <c r="M15" s="111"/>
      <c r="N15" s="111"/>
      <c r="O15" s="111"/>
      <c r="P15" s="111"/>
      <c r="Q15" s="111"/>
      <c r="R15" s="241"/>
      <c r="T15">
        <v>445</v>
      </c>
      <c r="U15">
        <v>130</v>
      </c>
      <c r="V15">
        <v>60</v>
      </c>
      <c r="W15">
        <v>365</v>
      </c>
      <c r="Y15" s="555">
        <f t="shared" si="13"/>
        <v>0</v>
      </c>
      <c r="Z15" s="555">
        <f t="shared" si="14"/>
        <v>0</v>
      </c>
      <c r="AA15" s="555">
        <f t="shared" si="15"/>
        <v>0</v>
      </c>
      <c r="AB15" s="555">
        <f t="shared" si="16"/>
        <v>0</v>
      </c>
    </row>
    <row r="16" spans="1:28" ht="15.75" x14ac:dyDescent="0.25">
      <c r="A16" s="186">
        <v>11</v>
      </c>
      <c r="B16" s="145" t="s">
        <v>70</v>
      </c>
      <c r="C16" s="252">
        <v>0.3</v>
      </c>
      <c r="D16" s="252">
        <v>0.19</v>
      </c>
      <c r="E16" s="252">
        <v>0.05</v>
      </c>
      <c r="F16" s="252">
        <v>0.46</v>
      </c>
      <c r="G16" s="111"/>
      <c r="H16" s="111"/>
      <c r="I16" s="111"/>
      <c r="J16" s="241"/>
      <c r="K16" s="111"/>
      <c r="L16" s="111"/>
      <c r="M16" s="111"/>
      <c r="N16" s="111"/>
      <c r="O16" s="111"/>
      <c r="P16" s="111"/>
      <c r="Q16" s="111"/>
      <c r="R16" s="241"/>
      <c r="T16">
        <v>300</v>
      </c>
      <c r="U16">
        <v>190</v>
      </c>
      <c r="V16">
        <v>50</v>
      </c>
      <c r="W16">
        <v>460</v>
      </c>
      <c r="Y16" s="555">
        <f t="shared" si="13"/>
        <v>0</v>
      </c>
      <c r="Z16" s="555">
        <f t="shared" si="14"/>
        <v>0</v>
      </c>
      <c r="AA16" s="555">
        <f t="shared" si="15"/>
        <v>0</v>
      </c>
      <c r="AB16" s="555">
        <f t="shared" si="16"/>
        <v>0</v>
      </c>
    </row>
    <row r="17" spans="1:28" ht="15.75" x14ac:dyDescent="0.25">
      <c r="A17" s="186">
        <v>12</v>
      </c>
      <c r="B17" s="145" t="s">
        <v>71</v>
      </c>
      <c r="C17" s="252">
        <v>0.44</v>
      </c>
      <c r="D17" s="252">
        <v>0.04</v>
      </c>
      <c r="E17" s="252">
        <v>0.01</v>
      </c>
      <c r="F17" s="252">
        <v>0.51</v>
      </c>
      <c r="G17" s="111"/>
      <c r="H17" s="111"/>
      <c r="I17" s="111"/>
      <c r="J17" s="241"/>
      <c r="K17" s="111"/>
      <c r="L17" s="111"/>
      <c r="M17" s="111"/>
      <c r="N17" s="111"/>
      <c r="O17" s="111"/>
      <c r="P17" s="111"/>
      <c r="Q17" s="111"/>
      <c r="R17" s="241"/>
      <c r="T17">
        <v>440</v>
      </c>
      <c r="U17">
        <v>40</v>
      </c>
      <c r="V17">
        <v>10</v>
      </c>
      <c r="W17">
        <v>510</v>
      </c>
      <c r="Y17" s="555">
        <f t="shared" si="13"/>
        <v>0</v>
      </c>
      <c r="Z17" s="555">
        <f t="shared" si="14"/>
        <v>0</v>
      </c>
      <c r="AA17" s="555">
        <f t="shared" si="15"/>
        <v>0</v>
      </c>
      <c r="AB17" s="555">
        <f t="shared" si="16"/>
        <v>0</v>
      </c>
    </row>
    <row r="18" spans="1:28" ht="15.75" x14ac:dyDescent="0.25">
      <c r="A18" s="186">
        <v>13</v>
      </c>
      <c r="B18" s="145" t="s">
        <v>72</v>
      </c>
      <c r="C18" s="252">
        <v>0.42</v>
      </c>
      <c r="D18" s="252">
        <v>0.08</v>
      </c>
      <c r="E18" s="252">
        <v>0.03</v>
      </c>
      <c r="F18" s="252">
        <v>0.47</v>
      </c>
      <c r="G18" s="111"/>
      <c r="H18" s="111"/>
      <c r="I18" s="111"/>
      <c r="J18" s="241"/>
      <c r="K18" s="111"/>
      <c r="L18" s="111"/>
      <c r="M18" s="111"/>
      <c r="N18" s="111"/>
      <c r="O18" s="111"/>
      <c r="P18" s="111"/>
      <c r="Q18" s="111"/>
      <c r="R18" s="241"/>
      <c r="T18">
        <v>420</v>
      </c>
      <c r="U18">
        <v>80</v>
      </c>
      <c r="V18">
        <v>30</v>
      </c>
      <c r="W18">
        <v>470</v>
      </c>
      <c r="Y18" s="555">
        <f t="shared" si="13"/>
        <v>0</v>
      </c>
      <c r="Z18" s="555">
        <f t="shared" si="14"/>
        <v>0</v>
      </c>
      <c r="AA18" s="555">
        <f t="shared" si="15"/>
        <v>0</v>
      </c>
      <c r="AB18" s="555">
        <f t="shared" si="16"/>
        <v>0</v>
      </c>
    </row>
    <row r="19" spans="1:28" ht="15.75" x14ac:dyDescent="0.25">
      <c r="A19" s="186">
        <v>14</v>
      </c>
      <c r="B19" s="287" t="s">
        <v>73</v>
      </c>
      <c r="C19" s="252">
        <v>0</v>
      </c>
      <c r="D19" s="252">
        <v>0</v>
      </c>
      <c r="E19" s="252">
        <v>0</v>
      </c>
      <c r="F19" s="252">
        <v>1</v>
      </c>
      <c r="G19" s="111"/>
      <c r="H19" s="111"/>
      <c r="I19" s="111"/>
      <c r="J19" s="241"/>
      <c r="K19" s="111"/>
      <c r="L19" s="111"/>
      <c r="M19" s="111"/>
      <c r="N19" s="111"/>
      <c r="O19" s="111"/>
      <c r="P19" s="111"/>
      <c r="Q19" s="111"/>
      <c r="R19" s="241"/>
      <c r="T19">
        <v>0</v>
      </c>
      <c r="U19">
        <v>0</v>
      </c>
      <c r="V19">
        <v>0</v>
      </c>
      <c r="W19">
        <v>1000</v>
      </c>
      <c r="Y19" s="555">
        <f t="shared" si="13"/>
        <v>0</v>
      </c>
      <c r="Z19" s="555">
        <f t="shared" si="14"/>
        <v>0</v>
      </c>
      <c r="AA19" s="555">
        <f t="shared" si="15"/>
        <v>0</v>
      </c>
      <c r="AB19" s="555">
        <f t="shared" si="16"/>
        <v>0</v>
      </c>
    </row>
    <row r="20" spans="1:28" ht="15.75" x14ac:dyDescent="0.25">
      <c r="A20" s="186">
        <v>15</v>
      </c>
      <c r="B20" s="145" t="s">
        <v>74</v>
      </c>
      <c r="C20" s="252">
        <v>0.41</v>
      </c>
      <c r="D20" s="252">
        <v>0.09</v>
      </c>
      <c r="E20" s="252">
        <v>0.03</v>
      </c>
      <c r="F20" s="252">
        <v>0.47</v>
      </c>
      <c r="G20" s="111"/>
      <c r="H20" s="111"/>
      <c r="I20" s="111"/>
      <c r="J20" s="241"/>
      <c r="K20" s="111"/>
      <c r="L20" s="111"/>
      <c r="M20" s="111"/>
      <c r="N20" s="111"/>
      <c r="O20" s="111"/>
      <c r="P20" s="111"/>
      <c r="Q20" s="111"/>
      <c r="R20" s="241"/>
      <c r="T20">
        <v>410</v>
      </c>
      <c r="U20">
        <v>90</v>
      </c>
      <c r="V20">
        <v>30</v>
      </c>
      <c r="W20">
        <v>470</v>
      </c>
      <c r="Y20" s="555">
        <f t="shared" si="13"/>
        <v>0</v>
      </c>
      <c r="Z20" s="555">
        <f t="shared" si="14"/>
        <v>0</v>
      </c>
      <c r="AA20" s="555">
        <f t="shared" si="15"/>
        <v>0</v>
      </c>
      <c r="AB20" s="555">
        <f t="shared" si="16"/>
        <v>0</v>
      </c>
    </row>
    <row r="21" spans="1:28" ht="15.75" x14ac:dyDescent="0.25">
      <c r="A21" s="186">
        <v>16</v>
      </c>
      <c r="B21" s="145" t="s">
        <v>75</v>
      </c>
      <c r="C21" s="252">
        <v>0.44</v>
      </c>
      <c r="D21" s="252">
        <v>0.15</v>
      </c>
      <c r="E21" s="252">
        <v>0.08</v>
      </c>
      <c r="F21" s="252">
        <v>0.32</v>
      </c>
      <c r="G21" s="111"/>
      <c r="H21" s="111"/>
      <c r="I21" s="111"/>
      <c r="J21" s="241"/>
      <c r="K21" s="111"/>
      <c r="L21" s="111"/>
      <c r="M21" s="111"/>
      <c r="N21" s="111"/>
      <c r="O21" s="111"/>
      <c r="P21" s="111"/>
      <c r="Q21" s="111"/>
      <c r="R21" s="241"/>
      <c r="T21">
        <v>450</v>
      </c>
      <c r="U21">
        <v>150</v>
      </c>
      <c r="V21">
        <v>80</v>
      </c>
      <c r="W21">
        <v>320</v>
      </c>
      <c r="Y21" s="555">
        <f t="shared" si="13"/>
        <v>0</v>
      </c>
      <c r="Z21" s="555">
        <f t="shared" si="14"/>
        <v>0</v>
      </c>
      <c r="AA21" s="555">
        <f t="shared" si="15"/>
        <v>0</v>
      </c>
      <c r="AB21" s="555">
        <f t="shared" si="16"/>
        <v>0</v>
      </c>
    </row>
    <row r="22" spans="1:28" ht="15.75" x14ac:dyDescent="0.25">
      <c r="A22" s="186">
        <v>17</v>
      </c>
      <c r="B22" s="145" t="s">
        <v>76</v>
      </c>
      <c r="C22" s="252">
        <v>0.24</v>
      </c>
      <c r="D22" s="252">
        <v>0.33</v>
      </c>
      <c r="E22" s="252">
        <v>7.0000000000000007E-2</v>
      </c>
      <c r="F22" s="252">
        <v>0.36</v>
      </c>
      <c r="G22" s="111"/>
      <c r="H22" s="111"/>
      <c r="I22" s="111"/>
      <c r="J22" s="241"/>
      <c r="K22" s="111"/>
      <c r="L22" s="111"/>
      <c r="M22" s="111"/>
      <c r="N22" s="257"/>
      <c r="O22" s="257"/>
      <c r="P22" s="257"/>
      <c r="Q22" s="257"/>
      <c r="R22" s="241"/>
      <c r="T22">
        <v>240</v>
      </c>
      <c r="U22">
        <v>330</v>
      </c>
      <c r="V22">
        <v>70</v>
      </c>
      <c r="W22">
        <v>360</v>
      </c>
      <c r="Y22" s="555">
        <f t="shared" si="13"/>
        <v>0</v>
      </c>
      <c r="Z22" s="555">
        <f t="shared" si="14"/>
        <v>0</v>
      </c>
      <c r="AA22" s="555">
        <f t="shared" si="15"/>
        <v>0</v>
      </c>
      <c r="AB22" s="555">
        <f t="shared" si="16"/>
        <v>0</v>
      </c>
    </row>
    <row r="23" spans="1:28" ht="15.75" x14ac:dyDescent="0.25">
      <c r="A23" s="186">
        <v>18</v>
      </c>
      <c r="B23" s="253" t="s">
        <v>77</v>
      </c>
      <c r="C23" s="252">
        <v>0.21</v>
      </c>
      <c r="D23" s="252">
        <v>0.38</v>
      </c>
      <c r="E23" s="252">
        <v>0.08</v>
      </c>
      <c r="F23" s="252">
        <v>0.33</v>
      </c>
      <c r="G23" s="111"/>
      <c r="H23" s="111"/>
      <c r="I23" s="111"/>
      <c r="J23" s="241"/>
      <c r="K23" s="111"/>
      <c r="L23" s="111"/>
      <c r="M23" s="111"/>
      <c r="N23" s="111"/>
      <c r="O23" s="111"/>
      <c r="P23" s="111"/>
      <c r="Q23" s="111"/>
      <c r="R23" s="241"/>
      <c r="T23">
        <v>210</v>
      </c>
      <c r="U23">
        <v>380</v>
      </c>
      <c r="V23">
        <v>80</v>
      </c>
      <c r="W23">
        <v>330</v>
      </c>
      <c r="Y23" s="555">
        <f t="shared" si="13"/>
        <v>0</v>
      </c>
      <c r="Z23" s="555">
        <f t="shared" si="14"/>
        <v>0</v>
      </c>
      <c r="AA23" s="555">
        <f t="shared" si="15"/>
        <v>0</v>
      </c>
      <c r="AB23" s="555">
        <f t="shared" si="16"/>
        <v>0</v>
      </c>
    </row>
    <row r="24" spans="1:28" ht="15.75" x14ac:dyDescent="0.25">
      <c r="A24" s="186">
        <v>19</v>
      </c>
      <c r="B24" s="145" t="s">
        <v>78</v>
      </c>
      <c r="C24" s="252">
        <v>0.34</v>
      </c>
      <c r="D24" s="252">
        <v>0.09</v>
      </c>
      <c r="E24" s="252">
        <v>0.02</v>
      </c>
      <c r="F24" s="252">
        <v>0.56000000000000005</v>
      </c>
      <c r="G24" s="111"/>
      <c r="H24" s="111"/>
      <c r="I24" s="111"/>
      <c r="J24" s="241"/>
      <c r="K24" s="111"/>
      <c r="L24" s="111"/>
      <c r="M24" s="111"/>
      <c r="N24" s="111"/>
      <c r="O24" s="111"/>
      <c r="P24" s="111"/>
      <c r="Q24" s="111"/>
      <c r="R24" s="241"/>
      <c r="T24">
        <v>340</v>
      </c>
      <c r="U24">
        <v>90</v>
      </c>
      <c r="V24">
        <v>20</v>
      </c>
      <c r="W24">
        <v>550</v>
      </c>
      <c r="Y24" s="555">
        <f t="shared" si="13"/>
        <v>0</v>
      </c>
      <c r="Z24" s="555">
        <f t="shared" si="14"/>
        <v>0</v>
      </c>
      <c r="AA24" s="555">
        <f t="shared" si="15"/>
        <v>0</v>
      </c>
      <c r="AB24" s="555">
        <f t="shared" si="16"/>
        <v>0</v>
      </c>
    </row>
    <row r="25" spans="1:28" ht="15.75" x14ac:dyDescent="0.25">
      <c r="A25" s="186">
        <v>20</v>
      </c>
      <c r="B25" s="253" t="s">
        <v>193</v>
      </c>
      <c r="C25" s="252">
        <v>0.23</v>
      </c>
      <c r="D25" s="252">
        <v>0.25</v>
      </c>
      <c r="E25" s="252">
        <v>0.06</v>
      </c>
      <c r="F25" s="252">
        <v>0.46</v>
      </c>
      <c r="G25" s="111"/>
      <c r="H25" s="111"/>
      <c r="I25" s="111"/>
      <c r="J25" s="241"/>
      <c r="K25" s="111"/>
      <c r="L25" s="111"/>
      <c r="M25" s="111"/>
      <c r="N25" s="111"/>
      <c r="O25" s="111"/>
      <c r="P25" s="111"/>
      <c r="Q25" s="111"/>
      <c r="R25" s="241"/>
      <c r="T25">
        <v>230</v>
      </c>
      <c r="U25">
        <v>250</v>
      </c>
      <c r="V25">
        <v>60</v>
      </c>
      <c r="W25">
        <v>460</v>
      </c>
      <c r="Y25" s="555">
        <f t="shared" si="13"/>
        <v>0</v>
      </c>
      <c r="Z25" s="555">
        <f t="shared" si="14"/>
        <v>0</v>
      </c>
      <c r="AA25" s="555">
        <f t="shared" si="15"/>
        <v>0</v>
      </c>
      <c r="AB25" s="555">
        <f t="shared" si="16"/>
        <v>0</v>
      </c>
    </row>
    <row r="26" spans="1:28" ht="15.75" x14ac:dyDescent="0.25">
      <c r="A26" s="186">
        <v>21</v>
      </c>
      <c r="B26" s="253" t="s">
        <v>194</v>
      </c>
      <c r="C26" s="252">
        <v>0.32</v>
      </c>
      <c r="D26" s="252">
        <v>0.25</v>
      </c>
      <c r="E26" s="252">
        <v>0.09</v>
      </c>
      <c r="F26" s="252">
        <v>0.35</v>
      </c>
      <c r="G26" s="111"/>
      <c r="H26" s="111"/>
      <c r="I26" s="111"/>
      <c r="J26" s="241"/>
      <c r="K26" s="111"/>
      <c r="L26" s="111"/>
      <c r="M26" s="111"/>
      <c r="N26" s="111"/>
      <c r="O26" s="111"/>
      <c r="P26" s="111"/>
      <c r="Q26" s="111"/>
      <c r="R26" s="241"/>
      <c r="T26">
        <v>315</v>
      </c>
      <c r="U26">
        <v>250</v>
      </c>
      <c r="V26">
        <v>90</v>
      </c>
      <c r="W26">
        <v>345</v>
      </c>
      <c r="Y26" s="555">
        <f t="shared" si="13"/>
        <v>0</v>
      </c>
      <c r="Z26" s="555">
        <f t="shared" si="14"/>
        <v>0</v>
      </c>
      <c r="AA26" s="555">
        <f t="shared" si="15"/>
        <v>0</v>
      </c>
      <c r="AB26" s="555">
        <f t="shared" si="16"/>
        <v>0</v>
      </c>
    </row>
    <row r="27" spans="1:28" ht="15.75" x14ac:dyDescent="0.25">
      <c r="A27" s="186">
        <v>22</v>
      </c>
      <c r="B27" s="253" t="s">
        <v>195</v>
      </c>
      <c r="C27" s="252">
        <v>0.32</v>
      </c>
      <c r="D27" s="252">
        <v>0.27</v>
      </c>
      <c r="E27" s="252">
        <v>0.1</v>
      </c>
      <c r="F27" s="252">
        <v>0.31</v>
      </c>
      <c r="G27" s="111"/>
      <c r="H27" s="111"/>
      <c r="I27" s="111"/>
      <c r="J27" s="241"/>
      <c r="K27" s="111"/>
      <c r="L27" s="111"/>
      <c r="M27" s="111"/>
      <c r="N27" s="111"/>
      <c r="O27" s="111"/>
      <c r="P27" s="111"/>
      <c r="Q27" s="111"/>
      <c r="R27" s="241"/>
      <c r="T27">
        <v>320</v>
      </c>
      <c r="U27">
        <v>270</v>
      </c>
      <c r="V27">
        <v>100</v>
      </c>
      <c r="W27">
        <v>310</v>
      </c>
      <c r="Y27" s="555">
        <f t="shared" si="13"/>
        <v>0</v>
      </c>
      <c r="Z27" s="555">
        <f t="shared" si="14"/>
        <v>0</v>
      </c>
      <c r="AA27" s="555">
        <f t="shared" si="15"/>
        <v>0</v>
      </c>
      <c r="AB27" s="555">
        <f t="shared" si="16"/>
        <v>0</v>
      </c>
    </row>
    <row r="28" spans="1:28" ht="15.75" x14ac:dyDescent="0.25">
      <c r="A28" s="186">
        <v>23</v>
      </c>
      <c r="B28" s="253" t="s">
        <v>196</v>
      </c>
      <c r="C28" s="252">
        <v>0.27</v>
      </c>
      <c r="D28" s="252">
        <v>0.32</v>
      </c>
      <c r="E28" s="252">
        <v>0.13</v>
      </c>
      <c r="F28" s="252">
        <v>0.28999999999999998</v>
      </c>
      <c r="G28" s="111"/>
      <c r="H28" s="111"/>
      <c r="I28" s="111"/>
      <c r="J28" s="241"/>
      <c r="K28" s="111"/>
      <c r="L28" s="111"/>
      <c r="M28" s="111"/>
      <c r="N28" s="111"/>
      <c r="O28" s="111"/>
      <c r="P28" s="111"/>
      <c r="Q28" s="111"/>
      <c r="R28" s="241"/>
      <c r="T28">
        <v>275</v>
      </c>
      <c r="U28">
        <v>305</v>
      </c>
      <c r="V28">
        <v>130</v>
      </c>
      <c r="W28">
        <v>290</v>
      </c>
      <c r="Y28" s="555">
        <f t="shared" si="13"/>
        <v>0</v>
      </c>
      <c r="Z28" s="555">
        <f t="shared" si="14"/>
        <v>0</v>
      </c>
      <c r="AA28" s="555">
        <f t="shared" si="15"/>
        <v>0</v>
      </c>
      <c r="AB28" s="555">
        <f t="shared" si="16"/>
        <v>0</v>
      </c>
    </row>
    <row r="29" spans="1:28" ht="15.75" x14ac:dyDescent="0.25">
      <c r="A29" s="186">
        <v>24</v>
      </c>
      <c r="B29" s="145" t="s">
        <v>79</v>
      </c>
      <c r="C29" s="252">
        <v>0.28999999999999998</v>
      </c>
      <c r="D29" s="252">
        <v>0.33</v>
      </c>
      <c r="E29" s="252">
        <v>7.0000000000000007E-2</v>
      </c>
      <c r="F29" s="252">
        <v>0.3</v>
      </c>
      <c r="G29" s="111"/>
      <c r="H29" s="111"/>
      <c r="I29" s="111"/>
      <c r="J29" s="241"/>
      <c r="K29" s="111"/>
      <c r="L29" s="111"/>
      <c r="M29" s="111"/>
      <c r="N29" s="111"/>
      <c r="O29" s="111"/>
      <c r="P29" s="111"/>
      <c r="Q29" s="111"/>
      <c r="R29" s="241"/>
      <c r="T29">
        <v>295</v>
      </c>
      <c r="U29">
        <v>330</v>
      </c>
      <c r="V29">
        <v>70</v>
      </c>
      <c r="W29">
        <v>305</v>
      </c>
      <c r="Y29" s="555">
        <f t="shared" si="13"/>
        <v>0</v>
      </c>
      <c r="Z29" s="555">
        <f t="shared" si="14"/>
        <v>0</v>
      </c>
      <c r="AA29" s="555">
        <f t="shared" si="15"/>
        <v>0</v>
      </c>
      <c r="AB29" s="555">
        <f t="shared" si="16"/>
        <v>0</v>
      </c>
    </row>
    <row r="30" spans="1:28" ht="15.75" x14ac:dyDescent="0.25">
      <c r="A30" s="186">
        <v>25</v>
      </c>
      <c r="B30" s="145" t="s">
        <v>80</v>
      </c>
      <c r="C30" s="252">
        <v>0.34</v>
      </c>
      <c r="D30" s="252">
        <v>0.17</v>
      </c>
      <c r="E30" s="252">
        <v>7.0000000000000007E-2</v>
      </c>
      <c r="F30" s="252">
        <v>0.42</v>
      </c>
      <c r="G30" s="111"/>
      <c r="H30" s="111"/>
      <c r="I30" s="111"/>
      <c r="J30" s="241"/>
      <c r="K30" s="111"/>
      <c r="L30" s="111"/>
      <c r="M30" s="111"/>
      <c r="N30" s="111"/>
      <c r="O30" s="111"/>
      <c r="P30" s="111"/>
      <c r="Q30" s="111"/>
      <c r="R30" s="241"/>
      <c r="T30">
        <v>340</v>
      </c>
      <c r="U30">
        <v>170</v>
      </c>
      <c r="V30">
        <v>70</v>
      </c>
      <c r="W30">
        <v>420</v>
      </c>
      <c r="Y30" s="555">
        <f t="shared" si="13"/>
        <v>0</v>
      </c>
      <c r="Z30" s="555">
        <f t="shared" si="14"/>
        <v>0</v>
      </c>
      <c r="AA30" s="555">
        <f t="shared" si="15"/>
        <v>0</v>
      </c>
      <c r="AB30" s="555">
        <f t="shared" si="16"/>
        <v>0</v>
      </c>
    </row>
    <row r="31" spans="1:28" ht="15.75" x14ac:dyDescent="0.25">
      <c r="A31" s="186">
        <v>26</v>
      </c>
      <c r="B31" s="145" t="s">
        <v>81</v>
      </c>
      <c r="C31" s="252">
        <v>0.44</v>
      </c>
      <c r="D31" s="252">
        <v>0.18</v>
      </c>
      <c r="E31" s="252">
        <v>0.09</v>
      </c>
      <c r="F31" s="252">
        <v>0.3</v>
      </c>
      <c r="G31" s="111"/>
      <c r="H31" s="111"/>
      <c r="I31" s="111"/>
      <c r="J31" s="241"/>
      <c r="K31" s="111"/>
      <c r="L31" s="111"/>
      <c r="M31" s="111"/>
      <c r="N31" s="111"/>
      <c r="O31" s="111"/>
      <c r="P31" s="111"/>
      <c r="Q31" s="111"/>
      <c r="R31" s="241"/>
      <c r="T31">
        <v>435</v>
      </c>
      <c r="U31">
        <v>180</v>
      </c>
      <c r="V31">
        <v>90</v>
      </c>
      <c r="W31">
        <v>295</v>
      </c>
      <c r="Y31" s="555">
        <f t="shared" si="13"/>
        <v>0</v>
      </c>
      <c r="Z31" s="555">
        <f t="shared" si="14"/>
        <v>0</v>
      </c>
      <c r="AA31" s="555">
        <f t="shared" si="15"/>
        <v>0</v>
      </c>
      <c r="AB31" s="555">
        <f t="shared" si="16"/>
        <v>0</v>
      </c>
    </row>
    <row r="32" spans="1:28" ht="15.75" x14ac:dyDescent="0.25">
      <c r="A32" s="186">
        <v>27</v>
      </c>
      <c r="B32" s="145" t="s">
        <v>82</v>
      </c>
      <c r="C32" s="252">
        <v>0.44</v>
      </c>
      <c r="D32" s="252">
        <v>0.11</v>
      </c>
      <c r="E32" s="252">
        <v>0.04</v>
      </c>
      <c r="F32" s="252">
        <v>0.41</v>
      </c>
      <c r="G32" s="111"/>
      <c r="H32" s="111"/>
      <c r="I32" s="111"/>
      <c r="J32" s="241"/>
      <c r="K32" s="111"/>
      <c r="L32" s="111"/>
      <c r="M32" s="111"/>
      <c r="N32" s="111"/>
      <c r="O32" s="111"/>
      <c r="P32" s="111"/>
      <c r="Q32" s="111"/>
      <c r="R32" s="241"/>
      <c r="T32">
        <v>440</v>
      </c>
      <c r="U32">
        <v>110</v>
      </c>
      <c r="V32">
        <v>40</v>
      </c>
      <c r="W32">
        <v>410</v>
      </c>
      <c r="Y32" s="555">
        <f t="shared" si="13"/>
        <v>0</v>
      </c>
      <c r="Z32" s="555">
        <f t="shared" si="14"/>
        <v>0</v>
      </c>
      <c r="AA32" s="555">
        <f t="shared" si="15"/>
        <v>0</v>
      </c>
      <c r="AB32" s="555">
        <f t="shared" si="16"/>
        <v>0</v>
      </c>
    </row>
    <row r="33" spans="1:28" ht="15.75" x14ac:dyDescent="0.25">
      <c r="A33" s="186">
        <v>28</v>
      </c>
      <c r="B33" s="145" t="s">
        <v>83</v>
      </c>
      <c r="C33" s="252">
        <v>0.43</v>
      </c>
      <c r="D33" s="252">
        <v>0.09</v>
      </c>
      <c r="E33" s="252">
        <v>0.03</v>
      </c>
      <c r="F33" s="252">
        <v>0.45</v>
      </c>
      <c r="G33" s="111"/>
      <c r="H33" s="111"/>
      <c r="I33" s="111"/>
      <c r="J33" s="241"/>
      <c r="K33" s="111"/>
      <c r="L33" s="111"/>
      <c r="M33" s="111"/>
      <c r="N33" s="111"/>
      <c r="O33" s="111"/>
      <c r="P33" s="111"/>
      <c r="Q33" s="111"/>
      <c r="R33" s="241"/>
      <c r="T33">
        <v>430</v>
      </c>
      <c r="U33">
        <v>90</v>
      </c>
      <c r="V33">
        <v>30</v>
      </c>
      <c r="W33">
        <v>450</v>
      </c>
      <c r="Y33" s="555">
        <f t="shared" si="13"/>
        <v>0</v>
      </c>
      <c r="Z33" s="555">
        <f t="shared" si="14"/>
        <v>0</v>
      </c>
      <c r="AA33" s="555">
        <f t="shared" si="15"/>
        <v>0</v>
      </c>
      <c r="AB33" s="555">
        <f t="shared" si="16"/>
        <v>0</v>
      </c>
    </row>
    <row r="34" spans="1:28" ht="15.75" x14ac:dyDescent="0.25">
      <c r="A34" s="186">
        <v>29</v>
      </c>
      <c r="B34" s="145" t="s">
        <v>84</v>
      </c>
      <c r="C34" s="252">
        <v>0.36</v>
      </c>
      <c r="D34" s="252">
        <v>0.24</v>
      </c>
      <c r="E34" s="252">
        <v>0.08</v>
      </c>
      <c r="F34" s="252">
        <v>0.33</v>
      </c>
      <c r="G34" s="111"/>
      <c r="H34" s="111"/>
      <c r="I34" s="111"/>
      <c r="J34" s="241"/>
      <c r="K34" s="111"/>
      <c r="L34" s="111"/>
      <c r="M34" s="111"/>
      <c r="N34" s="111"/>
      <c r="O34" s="111"/>
      <c r="P34" s="111"/>
      <c r="Q34" s="111"/>
      <c r="R34" s="241"/>
      <c r="T34">
        <v>355</v>
      </c>
      <c r="U34">
        <v>240</v>
      </c>
      <c r="V34">
        <v>80</v>
      </c>
      <c r="W34">
        <v>325</v>
      </c>
      <c r="Y34" s="555">
        <f t="shared" si="13"/>
        <v>0</v>
      </c>
      <c r="Z34" s="555">
        <f t="shared" si="14"/>
        <v>0</v>
      </c>
      <c r="AA34" s="555">
        <f t="shared" si="15"/>
        <v>0</v>
      </c>
      <c r="AB34" s="555">
        <f t="shared" si="16"/>
        <v>0</v>
      </c>
    </row>
    <row r="35" spans="1:28" ht="15.75" x14ac:dyDescent="0.25">
      <c r="A35" s="186">
        <v>30</v>
      </c>
      <c r="B35" s="145" t="s">
        <v>85</v>
      </c>
      <c r="C35" s="252">
        <v>0.42</v>
      </c>
      <c r="D35" s="252">
        <v>0.09</v>
      </c>
      <c r="E35" s="252">
        <v>0.03</v>
      </c>
      <c r="F35" s="252">
        <v>0.47</v>
      </c>
      <c r="G35" s="111"/>
      <c r="H35" s="111"/>
      <c r="I35" s="111"/>
      <c r="J35" s="241"/>
      <c r="K35" s="111"/>
      <c r="L35" s="111"/>
      <c r="M35" s="111"/>
      <c r="N35" s="111"/>
      <c r="O35" s="111"/>
      <c r="P35" s="111"/>
      <c r="Q35" s="111"/>
      <c r="R35" s="241"/>
      <c r="T35">
        <v>415</v>
      </c>
      <c r="U35">
        <v>90</v>
      </c>
      <c r="V35">
        <v>30</v>
      </c>
      <c r="W35">
        <v>465</v>
      </c>
      <c r="Y35" s="555">
        <f t="shared" si="13"/>
        <v>0</v>
      </c>
      <c r="Z35" s="555">
        <f t="shared" si="14"/>
        <v>0</v>
      </c>
      <c r="AA35" s="555">
        <f t="shared" si="15"/>
        <v>0</v>
      </c>
      <c r="AB35" s="555">
        <f t="shared" si="16"/>
        <v>0</v>
      </c>
    </row>
    <row r="36" spans="1:28" ht="15.75" x14ac:dyDescent="0.25">
      <c r="A36" s="186">
        <v>31</v>
      </c>
      <c r="B36" s="253" t="s">
        <v>86</v>
      </c>
      <c r="C36" s="252">
        <v>0.44</v>
      </c>
      <c r="D36" s="252">
        <v>0.13</v>
      </c>
      <c r="E36" s="252">
        <v>0.05</v>
      </c>
      <c r="F36" s="252">
        <v>0.38</v>
      </c>
      <c r="G36" s="111"/>
      <c r="H36" s="111"/>
      <c r="I36" s="111"/>
      <c r="J36" s="241"/>
      <c r="K36" s="111"/>
      <c r="L36" s="111"/>
      <c r="M36" s="111"/>
      <c r="N36" s="111"/>
      <c r="O36" s="111"/>
      <c r="P36" s="111"/>
      <c r="Q36" s="111"/>
      <c r="R36" s="241"/>
      <c r="T36">
        <v>440</v>
      </c>
      <c r="U36">
        <v>130</v>
      </c>
      <c r="V36">
        <v>50</v>
      </c>
      <c r="W36">
        <v>380</v>
      </c>
      <c r="Y36" s="555">
        <f t="shared" si="13"/>
        <v>0</v>
      </c>
      <c r="Z36" s="555">
        <f t="shared" si="14"/>
        <v>0</v>
      </c>
      <c r="AA36" s="555">
        <f t="shared" si="15"/>
        <v>0</v>
      </c>
      <c r="AB36" s="555">
        <f t="shared" si="16"/>
        <v>0</v>
      </c>
    </row>
    <row r="37" spans="1:28" ht="15.75" x14ac:dyDescent="0.25">
      <c r="A37" s="186">
        <v>32</v>
      </c>
      <c r="B37" s="253" t="s">
        <v>87</v>
      </c>
      <c r="C37" s="252">
        <v>0.36</v>
      </c>
      <c r="D37" s="252">
        <v>0.23</v>
      </c>
      <c r="E37" s="252">
        <v>0.08</v>
      </c>
      <c r="F37" s="252">
        <v>0.34</v>
      </c>
      <c r="G37" s="111"/>
      <c r="H37" s="111"/>
      <c r="I37" s="111"/>
      <c r="J37" s="241"/>
      <c r="K37" s="111"/>
      <c r="L37" s="111"/>
      <c r="M37" s="111"/>
      <c r="N37" s="111"/>
      <c r="O37" s="111"/>
      <c r="P37" s="111"/>
      <c r="Q37" s="111"/>
      <c r="R37" s="241"/>
      <c r="T37">
        <v>350</v>
      </c>
      <c r="U37">
        <v>230</v>
      </c>
      <c r="V37">
        <v>80</v>
      </c>
      <c r="W37">
        <v>340</v>
      </c>
      <c r="Y37" s="555">
        <f t="shared" si="13"/>
        <v>0</v>
      </c>
      <c r="Z37" s="555">
        <f t="shared" si="14"/>
        <v>0</v>
      </c>
      <c r="AA37" s="555">
        <f t="shared" si="15"/>
        <v>0</v>
      </c>
      <c r="AB37" s="555">
        <f t="shared" si="16"/>
        <v>0</v>
      </c>
    </row>
    <row r="38" spans="1:28" ht="15.75" x14ac:dyDescent="0.25">
      <c r="A38" s="186">
        <v>33</v>
      </c>
      <c r="B38" s="145" t="s">
        <v>88</v>
      </c>
      <c r="C38" s="252">
        <v>0.36</v>
      </c>
      <c r="D38" s="252">
        <v>0.23</v>
      </c>
      <c r="E38" s="252">
        <v>0.08</v>
      </c>
      <c r="F38" s="252">
        <v>0.34</v>
      </c>
      <c r="G38" s="111"/>
      <c r="H38" s="111"/>
      <c r="I38" s="111"/>
      <c r="J38" s="241"/>
      <c r="K38" s="111"/>
      <c r="L38" s="111"/>
      <c r="M38" s="111"/>
      <c r="N38" s="111"/>
      <c r="O38" s="111"/>
      <c r="P38" s="111"/>
      <c r="Q38" s="111"/>
      <c r="R38" s="241"/>
      <c r="T38">
        <v>360</v>
      </c>
      <c r="U38">
        <v>230</v>
      </c>
      <c r="V38">
        <v>80</v>
      </c>
      <c r="W38">
        <v>330</v>
      </c>
      <c r="Y38" s="555">
        <f t="shared" si="13"/>
        <v>0</v>
      </c>
      <c r="Z38" s="555">
        <f t="shared" si="14"/>
        <v>0</v>
      </c>
      <c r="AA38" s="555">
        <f t="shared" si="15"/>
        <v>0</v>
      </c>
      <c r="AB38" s="555">
        <f t="shared" si="16"/>
        <v>0</v>
      </c>
    </row>
    <row r="39" spans="1:28" ht="15.75" x14ac:dyDescent="0.25">
      <c r="A39" s="186">
        <v>34</v>
      </c>
      <c r="B39" s="145" t="s">
        <v>89</v>
      </c>
      <c r="C39" s="252">
        <v>0.34</v>
      </c>
      <c r="D39" s="252">
        <v>0.17</v>
      </c>
      <c r="E39" s="252">
        <v>0.06</v>
      </c>
      <c r="F39" s="252">
        <v>0.44</v>
      </c>
      <c r="G39" s="111"/>
      <c r="H39" s="111"/>
      <c r="I39" s="111"/>
      <c r="J39" s="241"/>
      <c r="K39" s="111"/>
      <c r="L39" s="111"/>
      <c r="M39" s="111"/>
      <c r="N39" s="111"/>
      <c r="O39" s="111"/>
      <c r="P39" s="111"/>
      <c r="Q39" s="111"/>
      <c r="R39" s="241"/>
      <c r="T39">
        <v>340</v>
      </c>
      <c r="U39">
        <v>170</v>
      </c>
      <c r="V39">
        <v>60</v>
      </c>
      <c r="W39">
        <v>430</v>
      </c>
      <c r="Y39" s="555">
        <f t="shared" si="13"/>
        <v>0</v>
      </c>
      <c r="Z39" s="555">
        <f t="shared" si="14"/>
        <v>0</v>
      </c>
      <c r="AA39" s="555">
        <f t="shared" si="15"/>
        <v>0</v>
      </c>
      <c r="AB39" s="555">
        <f t="shared" si="16"/>
        <v>0</v>
      </c>
    </row>
    <row r="40" spans="1:28" ht="15.75" x14ac:dyDescent="0.25">
      <c r="A40" s="186">
        <v>35</v>
      </c>
      <c r="B40" s="145" t="s">
        <v>90</v>
      </c>
      <c r="C40" s="252">
        <v>0.41</v>
      </c>
      <c r="D40" s="252">
        <v>0.18</v>
      </c>
      <c r="E40" s="252">
        <v>7.0000000000000007E-2</v>
      </c>
      <c r="F40" s="252">
        <v>0.34</v>
      </c>
      <c r="G40" s="111"/>
      <c r="H40" s="111"/>
      <c r="I40" s="111"/>
      <c r="J40" s="241"/>
      <c r="K40" s="111"/>
      <c r="L40" s="111"/>
      <c r="M40" s="111"/>
      <c r="N40" s="111"/>
      <c r="O40" s="111"/>
      <c r="P40" s="111"/>
      <c r="Q40" s="111"/>
      <c r="R40" s="241"/>
      <c r="T40">
        <v>410</v>
      </c>
      <c r="U40">
        <v>180</v>
      </c>
      <c r="V40">
        <v>70</v>
      </c>
      <c r="W40">
        <v>340</v>
      </c>
      <c r="Y40" s="555">
        <f t="shared" si="13"/>
        <v>0</v>
      </c>
      <c r="Z40" s="555">
        <f t="shared" si="14"/>
        <v>0</v>
      </c>
      <c r="AA40" s="555">
        <f t="shared" si="15"/>
        <v>0</v>
      </c>
      <c r="AB40" s="555">
        <f t="shared" si="16"/>
        <v>0</v>
      </c>
    </row>
    <row r="41" spans="1:28" ht="15.75" x14ac:dyDescent="0.25">
      <c r="A41" s="186">
        <v>36</v>
      </c>
      <c r="B41" s="145" t="s">
        <v>91</v>
      </c>
      <c r="C41" s="252">
        <v>0.47</v>
      </c>
      <c r="D41" s="252">
        <v>7.0000000000000007E-2</v>
      </c>
      <c r="E41" s="252">
        <v>0.03</v>
      </c>
      <c r="F41" s="252">
        <v>0.43</v>
      </c>
      <c r="G41" s="111"/>
      <c r="H41" s="111"/>
      <c r="I41" s="111"/>
      <c r="J41" s="241"/>
      <c r="K41" s="111"/>
      <c r="L41" s="111"/>
      <c r="M41" s="111"/>
      <c r="N41" s="111"/>
      <c r="O41" s="111"/>
      <c r="P41" s="111"/>
      <c r="Q41" s="111"/>
      <c r="R41" s="241"/>
      <c r="T41">
        <v>470</v>
      </c>
      <c r="U41">
        <v>70</v>
      </c>
      <c r="V41">
        <v>30</v>
      </c>
      <c r="W41">
        <v>430</v>
      </c>
      <c r="Y41" s="555">
        <f t="shared" si="13"/>
        <v>0</v>
      </c>
      <c r="Z41" s="555">
        <f t="shared" si="14"/>
        <v>0</v>
      </c>
      <c r="AA41" s="555">
        <f t="shared" si="15"/>
        <v>0</v>
      </c>
      <c r="AB41" s="555">
        <f t="shared" si="16"/>
        <v>0</v>
      </c>
    </row>
    <row r="42" spans="1:28" ht="15.75" x14ac:dyDescent="0.25">
      <c r="A42" s="186">
        <v>37</v>
      </c>
      <c r="B42" s="145" t="s">
        <v>92</v>
      </c>
      <c r="C42" s="252">
        <v>0.37</v>
      </c>
      <c r="D42" s="252">
        <v>0.12</v>
      </c>
      <c r="E42" s="252">
        <v>0.04</v>
      </c>
      <c r="F42" s="252">
        <v>0.46</v>
      </c>
      <c r="G42" s="111"/>
      <c r="H42" s="111"/>
      <c r="I42" s="111"/>
      <c r="J42" s="241"/>
      <c r="K42" s="111"/>
      <c r="L42" s="111"/>
      <c r="M42" s="111"/>
      <c r="N42" s="111"/>
      <c r="O42" s="111"/>
      <c r="P42" s="111"/>
      <c r="Q42" s="111"/>
      <c r="R42" s="241"/>
      <c r="T42">
        <v>375</v>
      </c>
      <c r="U42">
        <v>120</v>
      </c>
      <c r="V42">
        <v>40</v>
      </c>
      <c r="W42">
        <v>465</v>
      </c>
      <c r="Y42" s="555">
        <f t="shared" si="13"/>
        <v>0</v>
      </c>
      <c r="Z42" s="555">
        <f t="shared" si="14"/>
        <v>0</v>
      </c>
      <c r="AA42" s="555">
        <f t="shared" si="15"/>
        <v>0</v>
      </c>
      <c r="AB42" s="555">
        <f t="shared" si="16"/>
        <v>0</v>
      </c>
    </row>
    <row r="43" spans="1:28" ht="15.75" x14ac:dyDescent="0.25">
      <c r="A43" s="186">
        <v>38</v>
      </c>
      <c r="B43" s="145" t="s">
        <v>93</v>
      </c>
      <c r="C43" s="252">
        <v>0.43</v>
      </c>
      <c r="D43" s="252">
        <v>0.11</v>
      </c>
      <c r="E43" s="252">
        <v>0.05</v>
      </c>
      <c r="F43" s="252">
        <v>0.41</v>
      </c>
      <c r="G43" s="111"/>
      <c r="H43" s="111"/>
      <c r="I43" s="111"/>
      <c r="J43" s="241"/>
      <c r="K43" s="111"/>
      <c r="L43" s="111"/>
      <c r="M43" s="111"/>
      <c r="N43" s="111"/>
      <c r="O43" s="111"/>
      <c r="P43" s="111"/>
      <c r="Q43" s="111"/>
      <c r="R43" s="241"/>
      <c r="T43">
        <v>430</v>
      </c>
      <c r="U43">
        <v>110</v>
      </c>
      <c r="V43">
        <v>50</v>
      </c>
      <c r="W43">
        <v>410</v>
      </c>
      <c r="Y43" s="555">
        <f t="shared" si="13"/>
        <v>0</v>
      </c>
      <c r="Z43" s="555">
        <f t="shared" si="14"/>
        <v>0</v>
      </c>
      <c r="AA43" s="555">
        <f t="shared" si="15"/>
        <v>0</v>
      </c>
      <c r="AB43" s="555">
        <f t="shared" si="16"/>
        <v>0</v>
      </c>
    </row>
    <row r="44" spans="1:28" ht="15.75" x14ac:dyDescent="0.25">
      <c r="A44" s="186">
        <v>39</v>
      </c>
      <c r="B44" s="185" t="s">
        <v>256</v>
      </c>
      <c r="C44" s="256">
        <v>0.46864</v>
      </c>
      <c r="D44" s="256">
        <v>6.4531000000000005E-2</v>
      </c>
      <c r="E44" s="256">
        <v>2.726E-2</v>
      </c>
      <c r="F44" s="256">
        <v>0.43956900000000004</v>
      </c>
      <c r="G44" s="111">
        <f t="shared" ref="G44" si="17" xml:space="preserve"> SQRT(F44 + C44) - I44</f>
        <v>0.29000000000000004</v>
      </c>
      <c r="H44" s="111">
        <f t="shared" ref="H44" si="18" xml:space="preserve"> SQRT(F44 + D44) - I44</f>
        <v>4.6999999999999931E-2</v>
      </c>
      <c r="I44" s="111">
        <f t="shared" ref="I44" si="19">SQRT(F44)</f>
        <v>0.66300000000000003</v>
      </c>
      <c r="J44" s="241">
        <f t="shared" ref="J44" si="20" xml:space="preserve"> 1 - SUM(G44:I44)</f>
        <v>0</v>
      </c>
      <c r="K44" s="111">
        <f t="shared" ref="K44" si="21">G44*(1 + J44/2)</f>
        <v>0.29000000000000004</v>
      </c>
      <c r="L44" s="111">
        <f t="shared" ref="L44" si="22">H44*(1 + J44/2)</f>
        <v>4.6999999999999931E-2</v>
      </c>
      <c r="M44" s="111">
        <f t="shared" ref="M44" si="23">(I44 +J44/2) * (1 + J44/2)</f>
        <v>0.66300000000000003</v>
      </c>
      <c r="N44" s="514">
        <f t="shared" ref="N44" si="24">K44^2 + 2*K44*M44</f>
        <v>0.46864000000000006</v>
      </c>
      <c r="O44" s="514">
        <f t="shared" ref="O44" si="25">L44^2 + 2*L44*M44</f>
        <v>6.4530999999999908E-2</v>
      </c>
      <c r="P44" s="514">
        <f t="shared" ref="P44" si="26">2*K44*L44</f>
        <v>2.7259999999999965E-2</v>
      </c>
      <c r="Q44" s="514">
        <f t="shared" ref="Q44" si="27">M44^2</f>
        <v>0.43956900000000004</v>
      </c>
      <c r="R44" s="515">
        <f t="shared" ref="R44" si="28">SUM(N44:Q44)</f>
        <v>1</v>
      </c>
      <c r="T44">
        <v>469</v>
      </c>
      <c r="U44">
        <v>64</v>
      </c>
      <c r="V44">
        <v>27</v>
      </c>
      <c r="W44">
        <v>440</v>
      </c>
      <c r="Y44" s="555">
        <f t="shared" si="13"/>
        <v>468.64000000000004</v>
      </c>
      <c r="Z44" s="555">
        <f t="shared" si="14"/>
        <v>64.530999999999906</v>
      </c>
      <c r="AA44" s="555">
        <f t="shared" si="15"/>
        <v>27.259999999999966</v>
      </c>
      <c r="AB44" s="555">
        <f t="shared" si="16"/>
        <v>439.56900000000002</v>
      </c>
    </row>
    <row r="45" spans="1:28" ht="15.75" x14ac:dyDescent="0.25">
      <c r="A45" s="186">
        <v>40</v>
      </c>
      <c r="B45" s="145" t="s">
        <v>94</v>
      </c>
      <c r="C45" s="252">
        <v>0.42</v>
      </c>
      <c r="D45" s="252">
        <v>0.14000000000000001</v>
      </c>
      <c r="E45" s="252">
        <v>0.05</v>
      </c>
      <c r="F45" s="252">
        <v>0.4</v>
      </c>
      <c r="G45" s="111"/>
      <c r="H45" s="111"/>
      <c r="I45" s="111"/>
      <c r="J45" s="241"/>
      <c r="K45" s="111"/>
      <c r="L45" s="111"/>
      <c r="M45" s="111"/>
      <c r="N45" s="111"/>
      <c r="O45" s="111"/>
      <c r="P45" s="111"/>
      <c r="Q45" s="111"/>
      <c r="R45" s="241"/>
      <c r="T45">
        <v>415</v>
      </c>
      <c r="U45">
        <v>140</v>
      </c>
      <c r="V45">
        <v>50</v>
      </c>
      <c r="W45">
        <v>395</v>
      </c>
      <c r="Y45" s="555">
        <f t="shared" si="13"/>
        <v>0</v>
      </c>
      <c r="Z45" s="555">
        <f t="shared" si="14"/>
        <v>0</v>
      </c>
      <c r="AA45" s="555">
        <f t="shared" si="15"/>
        <v>0</v>
      </c>
      <c r="AB45" s="555">
        <f t="shared" si="16"/>
        <v>0</v>
      </c>
    </row>
    <row r="46" spans="1:28" ht="15.75" customHeight="1" x14ac:dyDescent="0.25">
      <c r="A46" s="186">
        <v>41</v>
      </c>
      <c r="B46" s="253" t="s">
        <v>191</v>
      </c>
      <c r="C46" s="252">
        <v>0.27</v>
      </c>
      <c r="D46" s="252">
        <v>0.35</v>
      </c>
      <c r="E46" s="252">
        <v>0.1</v>
      </c>
      <c r="F46" s="252">
        <v>0.28999999999999998</v>
      </c>
      <c r="G46" s="111"/>
      <c r="H46" s="111"/>
      <c r="I46" s="111"/>
      <c r="J46" s="241"/>
      <c r="K46" s="111"/>
      <c r="L46" s="111"/>
      <c r="M46" s="111"/>
      <c r="N46" s="111"/>
      <c r="O46" s="111"/>
      <c r="P46" s="111"/>
      <c r="Q46" s="111"/>
      <c r="R46" s="241"/>
      <c r="T46">
        <v>270</v>
      </c>
      <c r="U46">
        <v>345</v>
      </c>
      <c r="V46">
        <v>100</v>
      </c>
      <c r="W46">
        <v>285</v>
      </c>
      <c r="Y46" s="555">
        <f t="shared" si="13"/>
        <v>0</v>
      </c>
      <c r="Z46" s="555">
        <f t="shared" si="14"/>
        <v>0</v>
      </c>
      <c r="AA46" s="555">
        <f t="shared" si="15"/>
        <v>0</v>
      </c>
      <c r="AB46" s="555">
        <f t="shared" si="16"/>
        <v>0</v>
      </c>
    </row>
    <row r="47" spans="1:28" ht="15.75" x14ac:dyDescent="0.25">
      <c r="A47" s="186">
        <v>42</v>
      </c>
      <c r="B47" s="145" t="s">
        <v>95</v>
      </c>
      <c r="C47" s="252">
        <v>0.61</v>
      </c>
      <c r="D47" s="252">
        <v>0.02</v>
      </c>
      <c r="E47" s="252">
        <v>0.01</v>
      </c>
      <c r="F47" s="252">
        <v>0.37</v>
      </c>
      <c r="G47" s="111"/>
      <c r="H47" s="111"/>
      <c r="I47" s="111"/>
      <c r="J47" s="241"/>
      <c r="K47" s="111"/>
      <c r="L47" s="111"/>
      <c r="M47" s="111"/>
      <c r="N47" s="111"/>
      <c r="O47" s="111"/>
      <c r="P47" s="111"/>
      <c r="Q47" s="111"/>
      <c r="R47" s="241"/>
      <c r="T47">
        <v>600</v>
      </c>
      <c r="U47">
        <v>20</v>
      </c>
      <c r="V47">
        <v>10</v>
      </c>
      <c r="W47">
        <v>370</v>
      </c>
      <c r="Y47" s="555">
        <f t="shared" si="13"/>
        <v>0</v>
      </c>
      <c r="Z47" s="555">
        <f t="shared" si="14"/>
        <v>0</v>
      </c>
      <c r="AA47" s="555">
        <f t="shared" si="15"/>
        <v>0</v>
      </c>
      <c r="AB47" s="555">
        <f t="shared" si="16"/>
        <v>0</v>
      </c>
    </row>
    <row r="48" spans="1:28" ht="15.75" x14ac:dyDescent="0.25">
      <c r="A48" s="186">
        <v>43</v>
      </c>
      <c r="B48" s="253" t="s">
        <v>96</v>
      </c>
      <c r="C48" s="252">
        <v>0.25</v>
      </c>
      <c r="D48" s="252">
        <v>0.35</v>
      </c>
      <c r="E48" s="252">
        <v>0.11</v>
      </c>
      <c r="F48" s="252">
        <v>0.28999999999999998</v>
      </c>
      <c r="G48" s="111"/>
      <c r="H48" s="111"/>
      <c r="I48" s="111"/>
      <c r="J48" s="241"/>
      <c r="K48" s="111"/>
      <c r="L48" s="111"/>
      <c r="M48" s="111"/>
      <c r="N48" s="111"/>
      <c r="O48" s="111"/>
      <c r="P48" s="111"/>
      <c r="Q48" s="111"/>
      <c r="R48" s="241"/>
      <c r="T48">
        <v>250</v>
      </c>
      <c r="U48">
        <v>350</v>
      </c>
      <c r="V48">
        <v>110</v>
      </c>
      <c r="W48">
        <v>290</v>
      </c>
      <c r="Y48" s="555">
        <f t="shared" si="13"/>
        <v>0</v>
      </c>
      <c r="Z48" s="555">
        <f t="shared" si="14"/>
        <v>0</v>
      </c>
      <c r="AA48" s="555">
        <f t="shared" si="15"/>
        <v>0</v>
      </c>
      <c r="AB48" s="555">
        <f t="shared" si="16"/>
        <v>0</v>
      </c>
    </row>
    <row r="49" spans="1:28" ht="15.75" x14ac:dyDescent="0.25">
      <c r="A49" s="186">
        <v>44</v>
      </c>
      <c r="B49" s="145" t="s">
        <v>97</v>
      </c>
      <c r="C49" s="252">
        <v>0.43</v>
      </c>
      <c r="D49" s="252">
        <v>0.16</v>
      </c>
      <c r="E49" s="252">
        <v>0.05</v>
      </c>
      <c r="F49" s="252">
        <v>0.36</v>
      </c>
      <c r="G49" s="111"/>
      <c r="H49" s="111"/>
      <c r="I49" s="111"/>
      <c r="J49" s="241"/>
      <c r="K49" s="111"/>
      <c r="L49" s="111"/>
      <c r="M49" s="111"/>
      <c r="N49" s="111"/>
      <c r="O49" s="111"/>
      <c r="P49" s="111"/>
      <c r="Q49" s="111"/>
      <c r="R49" s="241"/>
      <c r="T49">
        <v>430</v>
      </c>
      <c r="U49">
        <v>160</v>
      </c>
      <c r="V49">
        <v>50</v>
      </c>
      <c r="W49">
        <v>360</v>
      </c>
      <c r="Y49" s="555">
        <f t="shared" si="13"/>
        <v>0</v>
      </c>
      <c r="Z49" s="555">
        <f t="shared" si="14"/>
        <v>0</v>
      </c>
      <c r="AA49" s="555">
        <f t="shared" si="15"/>
        <v>0</v>
      </c>
      <c r="AB49" s="555">
        <f t="shared" si="16"/>
        <v>0</v>
      </c>
    </row>
    <row r="50" spans="1:28" ht="15.75" x14ac:dyDescent="0.25">
      <c r="A50" s="186">
        <v>45</v>
      </c>
      <c r="B50" s="145" t="s">
        <v>98</v>
      </c>
      <c r="C50" s="252">
        <v>0.32</v>
      </c>
      <c r="D50" s="252">
        <v>0.1</v>
      </c>
      <c r="E50" s="252">
        <v>0.03</v>
      </c>
      <c r="F50" s="252">
        <v>0.56000000000000005</v>
      </c>
      <c r="G50" s="111"/>
      <c r="H50" s="111"/>
      <c r="I50" s="111"/>
      <c r="J50" s="241"/>
      <c r="K50" s="111"/>
      <c r="L50" s="111"/>
      <c r="M50" s="111"/>
      <c r="N50" s="111"/>
      <c r="O50" s="111"/>
      <c r="P50" s="111"/>
      <c r="Q50" s="111"/>
      <c r="R50" s="241"/>
      <c r="T50">
        <v>320</v>
      </c>
      <c r="U50">
        <v>100</v>
      </c>
      <c r="V50">
        <v>30</v>
      </c>
      <c r="W50">
        <v>550</v>
      </c>
      <c r="Y50" s="555">
        <f t="shared" si="13"/>
        <v>0</v>
      </c>
      <c r="Z50" s="555">
        <f t="shared" si="14"/>
        <v>0</v>
      </c>
      <c r="AA50" s="555">
        <f t="shared" si="15"/>
        <v>0</v>
      </c>
      <c r="AB50" s="555">
        <f t="shared" si="16"/>
        <v>0</v>
      </c>
    </row>
    <row r="51" spans="1:28" ht="15.75" x14ac:dyDescent="0.25">
      <c r="A51" s="186">
        <v>46</v>
      </c>
      <c r="B51" s="201" t="s">
        <v>99</v>
      </c>
      <c r="C51" s="252">
        <v>0.21</v>
      </c>
      <c r="D51" s="252">
        <v>0.4</v>
      </c>
      <c r="E51" s="252">
        <v>0.09</v>
      </c>
      <c r="F51" s="252">
        <v>0.28999999999999998</v>
      </c>
      <c r="G51" s="111"/>
      <c r="H51" s="111"/>
      <c r="I51" s="111"/>
      <c r="J51" s="241"/>
      <c r="K51" s="111"/>
      <c r="L51" s="111"/>
      <c r="M51" s="111"/>
      <c r="N51" s="111"/>
      <c r="O51" s="111"/>
      <c r="P51" s="111"/>
      <c r="Q51" s="111"/>
      <c r="R51" s="241"/>
      <c r="T51">
        <v>210</v>
      </c>
      <c r="U51">
        <v>405</v>
      </c>
      <c r="V51">
        <v>90</v>
      </c>
      <c r="W51">
        <v>295</v>
      </c>
      <c r="Y51" s="555">
        <f t="shared" si="13"/>
        <v>0</v>
      </c>
      <c r="Z51" s="555">
        <f t="shared" si="14"/>
        <v>0</v>
      </c>
      <c r="AA51" s="555">
        <f t="shared" si="15"/>
        <v>0</v>
      </c>
      <c r="AB51" s="555">
        <f t="shared" si="16"/>
        <v>0</v>
      </c>
    </row>
    <row r="52" spans="1:28" ht="15.75" x14ac:dyDescent="0.25">
      <c r="A52" s="186">
        <v>47</v>
      </c>
      <c r="B52" s="145" t="s">
        <v>100</v>
      </c>
      <c r="C52" s="252">
        <v>0.16</v>
      </c>
      <c r="D52" s="252">
        <v>0.04</v>
      </c>
      <c r="E52" s="252">
        <v>0.01</v>
      </c>
      <c r="F52" s="252">
        <v>0.79</v>
      </c>
      <c r="G52" s="111"/>
      <c r="H52" s="111"/>
      <c r="I52" s="111"/>
      <c r="J52" s="241"/>
      <c r="K52" s="111"/>
      <c r="L52" s="111"/>
      <c r="M52" s="111"/>
      <c r="N52" s="111"/>
      <c r="O52" s="111"/>
      <c r="P52" s="111"/>
      <c r="Q52" s="111"/>
      <c r="R52" s="241"/>
      <c r="T52">
        <v>160</v>
      </c>
      <c r="U52">
        <v>40</v>
      </c>
      <c r="V52">
        <v>10</v>
      </c>
      <c r="W52">
        <v>790</v>
      </c>
      <c r="Y52" s="555">
        <f t="shared" si="13"/>
        <v>0</v>
      </c>
      <c r="Z52" s="555">
        <f t="shared" si="14"/>
        <v>0</v>
      </c>
      <c r="AA52" s="555">
        <f t="shared" si="15"/>
        <v>0</v>
      </c>
      <c r="AB52" s="555">
        <f t="shared" si="16"/>
        <v>0</v>
      </c>
    </row>
    <row r="53" spans="1:28" ht="15.75" x14ac:dyDescent="0.25">
      <c r="A53" s="186">
        <v>48</v>
      </c>
      <c r="B53" s="145" t="s">
        <v>101</v>
      </c>
      <c r="C53" s="252">
        <v>0.35</v>
      </c>
      <c r="D53" s="252">
        <v>0.1</v>
      </c>
      <c r="E53" s="252">
        <v>0.03</v>
      </c>
      <c r="F53" s="252">
        <v>0.52</v>
      </c>
      <c r="G53" s="111"/>
      <c r="H53" s="111"/>
      <c r="I53" s="111"/>
      <c r="J53" s="241"/>
      <c r="K53" s="111"/>
      <c r="L53" s="111"/>
      <c r="M53" s="111"/>
      <c r="N53" s="111"/>
      <c r="O53" s="111"/>
      <c r="P53" s="111"/>
      <c r="Q53" s="111"/>
      <c r="R53" s="241"/>
      <c r="T53">
        <v>350</v>
      </c>
      <c r="U53">
        <v>100</v>
      </c>
      <c r="V53">
        <v>30</v>
      </c>
      <c r="W53">
        <v>520</v>
      </c>
      <c r="Y53" s="555">
        <f t="shared" si="13"/>
        <v>0</v>
      </c>
      <c r="Z53" s="555">
        <f t="shared" si="14"/>
        <v>0</v>
      </c>
      <c r="AA53" s="555">
        <f t="shared" si="15"/>
        <v>0</v>
      </c>
      <c r="AB53" s="555">
        <f t="shared" si="16"/>
        <v>0</v>
      </c>
    </row>
    <row r="54" spans="1:28" ht="15.75" x14ac:dyDescent="0.25">
      <c r="A54" s="186">
        <v>49</v>
      </c>
      <c r="B54" s="253" t="s">
        <v>102</v>
      </c>
      <c r="C54" s="252">
        <v>0.41</v>
      </c>
      <c r="D54" s="252">
        <v>0.11</v>
      </c>
      <c r="E54" s="252">
        <v>0.03</v>
      </c>
      <c r="F54" s="252">
        <v>0.46</v>
      </c>
      <c r="G54" s="111"/>
      <c r="H54" s="111"/>
      <c r="I54" s="111"/>
      <c r="J54" s="241"/>
      <c r="K54" s="111"/>
      <c r="L54" s="111"/>
      <c r="M54" s="111"/>
      <c r="N54" s="111"/>
      <c r="O54" s="111"/>
      <c r="P54" s="111"/>
      <c r="Q54" s="111"/>
      <c r="R54" s="241"/>
      <c r="T54">
        <v>405</v>
      </c>
      <c r="U54">
        <v>110</v>
      </c>
      <c r="V54">
        <v>30</v>
      </c>
      <c r="W54">
        <v>455</v>
      </c>
      <c r="Y54" s="555">
        <f t="shared" si="13"/>
        <v>0</v>
      </c>
      <c r="Z54" s="555">
        <f t="shared" si="14"/>
        <v>0</v>
      </c>
      <c r="AA54" s="555">
        <f t="shared" si="15"/>
        <v>0</v>
      </c>
      <c r="AB54" s="555">
        <f t="shared" si="16"/>
        <v>0</v>
      </c>
    </row>
    <row r="55" spans="1:28" ht="15.75" x14ac:dyDescent="0.25">
      <c r="A55" s="186">
        <v>50</v>
      </c>
      <c r="B55" s="145" t="s">
        <v>103</v>
      </c>
      <c r="C55" s="252">
        <v>0.38</v>
      </c>
      <c r="D55" s="252">
        <v>0.22</v>
      </c>
      <c r="E55" s="252">
        <v>0.1</v>
      </c>
      <c r="F55" s="252">
        <v>0.3</v>
      </c>
      <c r="G55" s="111"/>
      <c r="H55" s="111"/>
      <c r="I55" s="111"/>
      <c r="J55" s="241"/>
      <c r="K55" s="111"/>
      <c r="L55" s="111"/>
      <c r="M55" s="111"/>
      <c r="N55" s="111"/>
      <c r="O55" s="111"/>
      <c r="P55" s="111"/>
      <c r="Q55" s="111"/>
      <c r="R55" s="241"/>
      <c r="T55">
        <v>380</v>
      </c>
      <c r="U55">
        <v>220</v>
      </c>
      <c r="V55">
        <v>100</v>
      </c>
      <c r="W55">
        <v>300</v>
      </c>
      <c r="Y55" s="555">
        <f t="shared" si="13"/>
        <v>0</v>
      </c>
      <c r="Z55" s="555">
        <f t="shared" si="14"/>
        <v>0</v>
      </c>
      <c r="AA55" s="555">
        <f t="shared" si="15"/>
        <v>0</v>
      </c>
      <c r="AB55" s="555">
        <f t="shared" si="16"/>
        <v>0</v>
      </c>
    </row>
    <row r="56" spans="1:28" ht="15.75" x14ac:dyDescent="0.25">
      <c r="A56" s="186">
        <v>51</v>
      </c>
      <c r="B56" s="185" t="s">
        <v>257</v>
      </c>
      <c r="C56" s="256">
        <v>0.38945899999999994</v>
      </c>
      <c r="D56" s="256">
        <v>0.22214399999999998</v>
      </c>
      <c r="E56" s="256">
        <v>0.10217199999999999</v>
      </c>
      <c r="F56" s="256">
        <v>0.28622500000000001</v>
      </c>
      <c r="G56" s="111"/>
      <c r="H56" s="111"/>
      <c r="I56" s="111"/>
      <c r="J56" s="241"/>
      <c r="K56" s="111"/>
      <c r="L56" s="111"/>
      <c r="M56" s="111"/>
      <c r="N56" s="111"/>
      <c r="O56" s="111"/>
      <c r="P56" s="111"/>
      <c r="Q56" s="111"/>
      <c r="R56" s="241"/>
      <c r="T56">
        <v>389</v>
      </c>
      <c r="U56">
        <v>222</v>
      </c>
      <c r="V56">
        <v>102</v>
      </c>
      <c r="W56">
        <v>287</v>
      </c>
      <c r="Y56" s="555">
        <f t="shared" si="13"/>
        <v>0</v>
      </c>
      <c r="Z56" s="555">
        <f t="shared" si="14"/>
        <v>0</v>
      </c>
      <c r="AA56" s="555">
        <f t="shared" si="15"/>
        <v>0</v>
      </c>
      <c r="AB56" s="555">
        <f t="shared" si="16"/>
        <v>0</v>
      </c>
    </row>
    <row r="57" spans="1:28" ht="15.75" x14ac:dyDescent="0.25">
      <c r="A57" s="186">
        <v>52</v>
      </c>
      <c r="B57" s="253" t="s">
        <v>104</v>
      </c>
      <c r="C57" s="252">
        <v>0.41</v>
      </c>
      <c r="D57" s="252">
        <v>0.12</v>
      </c>
      <c r="E57" s="252">
        <v>0.05</v>
      </c>
      <c r="F57" s="252">
        <v>0.42</v>
      </c>
      <c r="G57" s="111"/>
      <c r="H57" s="111"/>
      <c r="I57" s="111"/>
      <c r="J57" s="241"/>
      <c r="K57" s="111"/>
      <c r="L57" s="111"/>
      <c r="M57" s="111"/>
      <c r="N57" s="111"/>
      <c r="O57" s="111"/>
      <c r="P57" s="111"/>
      <c r="Q57" s="111"/>
      <c r="R57" s="241"/>
      <c r="T57">
        <v>410</v>
      </c>
      <c r="U57">
        <v>120</v>
      </c>
      <c r="V57">
        <v>50</v>
      </c>
      <c r="W57">
        <v>420</v>
      </c>
      <c r="Y57" s="555">
        <f t="shared" si="13"/>
        <v>0</v>
      </c>
      <c r="Z57" s="555">
        <f t="shared" si="14"/>
        <v>0</v>
      </c>
      <c r="AA57" s="555">
        <f t="shared" si="15"/>
        <v>0</v>
      </c>
      <c r="AB57" s="555">
        <f t="shared" si="16"/>
        <v>0</v>
      </c>
    </row>
    <row r="58" spans="1:28" ht="15.75" x14ac:dyDescent="0.25">
      <c r="A58" s="186">
        <v>53</v>
      </c>
      <c r="B58" s="253" t="s">
        <v>105</v>
      </c>
      <c r="C58" s="252">
        <v>0.41</v>
      </c>
      <c r="D58" s="252">
        <v>0.18</v>
      </c>
      <c r="E58" s="252">
        <v>0.08</v>
      </c>
      <c r="F58" s="252">
        <v>0.33</v>
      </c>
      <c r="G58" s="111"/>
      <c r="H58" s="111"/>
      <c r="I58" s="111"/>
      <c r="J58" s="241"/>
      <c r="K58" s="111"/>
      <c r="L58" s="111"/>
      <c r="M58" s="111"/>
      <c r="N58" s="111"/>
      <c r="O58" s="111"/>
      <c r="P58" s="111"/>
      <c r="Q58" s="111"/>
      <c r="R58" s="241"/>
      <c r="T58">
        <v>410</v>
      </c>
      <c r="U58">
        <v>180</v>
      </c>
      <c r="V58">
        <v>80</v>
      </c>
      <c r="W58">
        <v>330</v>
      </c>
      <c r="Y58" s="555">
        <f t="shared" si="13"/>
        <v>0</v>
      </c>
      <c r="Z58" s="555">
        <f t="shared" si="14"/>
        <v>0</v>
      </c>
      <c r="AA58" s="555">
        <f t="shared" si="15"/>
        <v>0</v>
      </c>
      <c r="AB58" s="555">
        <f t="shared" si="16"/>
        <v>0</v>
      </c>
    </row>
    <row r="59" spans="1:28" ht="15.75" x14ac:dyDescent="0.25">
      <c r="A59" s="186">
        <v>54</v>
      </c>
      <c r="B59" s="145" t="s">
        <v>106</v>
      </c>
      <c r="C59" s="252">
        <v>0.23</v>
      </c>
      <c r="D59" s="252">
        <v>0.41</v>
      </c>
      <c r="E59" s="252">
        <v>0.11</v>
      </c>
      <c r="F59" s="252">
        <v>0.26</v>
      </c>
      <c r="G59" s="111"/>
      <c r="H59" s="111"/>
      <c r="I59" s="111"/>
      <c r="J59" s="241"/>
      <c r="K59" s="111"/>
      <c r="L59" s="111"/>
      <c r="M59" s="111"/>
      <c r="N59" s="111"/>
      <c r="O59" s="111"/>
      <c r="P59" s="111"/>
      <c r="Q59" s="111"/>
      <c r="R59" s="241"/>
      <c r="T59">
        <v>230</v>
      </c>
      <c r="U59">
        <v>405</v>
      </c>
      <c r="V59">
        <v>110</v>
      </c>
      <c r="W59">
        <v>255</v>
      </c>
      <c r="Y59" s="555">
        <f t="shared" si="13"/>
        <v>0</v>
      </c>
      <c r="Z59" s="555">
        <f t="shared" si="14"/>
        <v>0</v>
      </c>
      <c r="AA59" s="555">
        <f t="shared" si="15"/>
        <v>0</v>
      </c>
      <c r="AB59" s="555">
        <f t="shared" si="16"/>
        <v>0</v>
      </c>
    </row>
    <row r="60" spans="1:28" ht="15.75" x14ac:dyDescent="0.25">
      <c r="A60" s="186">
        <v>55</v>
      </c>
      <c r="B60" s="253" t="s">
        <v>107</v>
      </c>
      <c r="C60" s="252">
        <v>0.19</v>
      </c>
      <c r="D60" s="252">
        <v>0.2</v>
      </c>
      <c r="E60" s="252">
        <v>0.01</v>
      </c>
      <c r="F60" s="252">
        <v>0.6</v>
      </c>
      <c r="G60" s="111"/>
      <c r="H60" s="111"/>
      <c r="I60" s="111"/>
      <c r="J60" s="241"/>
      <c r="K60" s="111"/>
      <c r="L60" s="111"/>
      <c r="M60" s="111"/>
      <c r="N60" s="111"/>
      <c r="O60" s="111"/>
      <c r="P60" s="111"/>
      <c r="Q60" s="111"/>
      <c r="R60" s="241"/>
      <c r="T60">
        <v>190</v>
      </c>
      <c r="U60">
        <v>200</v>
      </c>
      <c r="V60">
        <v>10</v>
      </c>
      <c r="W60">
        <v>600</v>
      </c>
      <c r="Y60" s="555">
        <f t="shared" si="13"/>
        <v>0</v>
      </c>
      <c r="Z60" s="555">
        <f t="shared" si="14"/>
        <v>0</v>
      </c>
      <c r="AA60" s="555">
        <f t="shared" si="15"/>
        <v>0</v>
      </c>
      <c r="AB60" s="555">
        <f t="shared" si="16"/>
        <v>0</v>
      </c>
    </row>
    <row r="61" spans="1:28" ht="15.75" x14ac:dyDescent="0.25">
      <c r="A61" s="186">
        <v>56</v>
      </c>
      <c r="B61" s="145" t="s">
        <v>108</v>
      </c>
      <c r="C61" s="252">
        <v>0.32</v>
      </c>
      <c r="D61" s="252">
        <v>0.31</v>
      </c>
      <c r="E61" s="252">
        <v>0.1</v>
      </c>
      <c r="F61" s="252">
        <v>0.28000000000000003</v>
      </c>
      <c r="G61" s="111"/>
      <c r="H61" s="111"/>
      <c r="I61" s="111"/>
      <c r="J61" s="241"/>
      <c r="K61" s="111"/>
      <c r="L61" s="111"/>
      <c r="M61" s="111"/>
      <c r="N61" s="111"/>
      <c r="O61" s="111"/>
      <c r="P61" s="111"/>
      <c r="Q61" s="111"/>
      <c r="R61" s="241"/>
      <c r="T61">
        <v>315</v>
      </c>
      <c r="U61">
        <v>305</v>
      </c>
      <c r="V61">
        <v>100</v>
      </c>
      <c r="W61">
        <v>280</v>
      </c>
      <c r="Y61" s="555">
        <f t="shared" si="13"/>
        <v>0</v>
      </c>
      <c r="Z61" s="555">
        <f t="shared" si="14"/>
        <v>0</v>
      </c>
      <c r="AA61" s="555">
        <f t="shared" si="15"/>
        <v>0</v>
      </c>
      <c r="AB61" s="555">
        <f t="shared" si="16"/>
        <v>0</v>
      </c>
    </row>
    <row r="62" spans="1:28" ht="15.75" x14ac:dyDescent="0.25">
      <c r="A62" s="186">
        <v>57</v>
      </c>
      <c r="B62" s="185" t="s">
        <v>258</v>
      </c>
      <c r="C62" s="256">
        <v>0.31208100000000005</v>
      </c>
      <c r="D62" s="256">
        <v>0.27776100000000004</v>
      </c>
      <c r="E62" s="256">
        <v>9.6558000000000005E-2</v>
      </c>
      <c r="F62" s="256">
        <v>0.31360000000000005</v>
      </c>
      <c r="G62" s="111"/>
      <c r="H62" s="111"/>
      <c r="I62" s="111"/>
      <c r="J62" s="241"/>
      <c r="K62" s="111"/>
      <c r="L62" s="111"/>
      <c r="M62" s="111"/>
      <c r="N62" s="111"/>
      <c r="O62" s="111"/>
      <c r="P62" s="111"/>
      <c r="Q62" s="111"/>
      <c r="R62" s="241"/>
      <c r="T62">
        <v>312</v>
      </c>
      <c r="U62">
        <v>277</v>
      </c>
      <c r="V62">
        <v>97</v>
      </c>
      <c r="W62">
        <v>314</v>
      </c>
      <c r="Y62" s="555">
        <f t="shared" si="13"/>
        <v>0</v>
      </c>
      <c r="Z62" s="555">
        <f t="shared" si="14"/>
        <v>0</v>
      </c>
      <c r="AA62" s="555">
        <f t="shared" si="15"/>
        <v>0</v>
      </c>
      <c r="AB62" s="555">
        <f t="shared" si="16"/>
        <v>0</v>
      </c>
    </row>
    <row r="63" spans="1:28" ht="15.75" x14ac:dyDescent="0.25">
      <c r="A63" s="186">
        <v>58</v>
      </c>
      <c r="B63" s="145" t="s">
        <v>109</v>
      </c>
      <c r="C63" s="252">
        <v>0.63</v>
      </c>
      <c r="D63" s="252">
        <v>0.04</v>
      </c>
      <c r="E63" s="252">
        <v>0.04</v>
      </c>
      <c r="F63" s="252">
        <v>0.28999999999999998</v>
      </c>
      <c r="G63" s="111"/>
      <c r="H63" s="111"/>
      <c r="I63" s="111"/>
      <c r="J63" s="241"/>
      <c r="K63" s="111"/>
      <c r="L63" s="111"/>
      <c r="M63" s="111"/>
      <c r="N63" s="111"/>
      <c r="O63" s="111"/>
      <c r="P63" s="111"/>
      <c r="Q63" s="111"/>
      <c r="R63" s="241"/>
      <c r="T63">
        <v>630</v>
      </c>
      <c r="U63">
        <v>40</v>
      </c>
      <c r="V63">
        <v>40</v>
      </c>
      <c r="W63">
        <v>290</v>
      </c>
      <c r="Y63" s="555">
        <f t="shared" si="13"/>
        <v>0</v>
      </c>
      <c r="Z63" s="555">
        <f t="shared" si="14"/>
        <v>0</v>
      </c>
      <c r="AA63" s="555">
        <f t="shared" si="15"/>
        <v>0</v>
      </c>
      <c r="AB63" s="555">
        <f t="shared" si="16"/>
        <v>0</v>
      </c>
    </row>
    <row r="64" spans="1:28" ht="15.75" x14ac:dyDescent="0.25">
      <c r="A64" s="186">
        <v>59</v>
      </c>
      <c r="B64" s="145" t="s">
        <v>110</v>
      </c>
      <c r="C64" s="252">
        <v>0.37</v>
      </c>
      <c r="D64" s="252">
        <v>0.24</v>
      </c>
      <c r="E64" s="252">
        <v>7.0000000000000007E-2</v>
      </c>
      <c r="F64" s="252">
        <v>0.32</v>
      </c>
      <c r="G64" s="111"/>
      <c r="H64" s="111"/>
      <c r="I64" s="111"/>
      <c r="J64" s="241"/>
      <c r="K64" s="111"/>
      <c r="L64" s="111"/>
      <c r="M64" s="111"/>
      <c r="N64" s="111"/>
      <c r="O64" s="111"/>
      <c r="P64" s="111"/>
      <c r="Q64" s="111"/>
      <c r="R64" s="241"/>
      <c r="T64">
        <v>370</v>
      </c>
      <c r="U64">
        <v>240</v>
      </c>
      <c r="V64">
        <v>70</v>
      </c>
      <c r="W64">
        <v>320</v>
      </c>
      <c r="Y64" s="555">
        <f t="shared" si="13"/>
        <v>0</v>
      </c>
      <c r="Z64" s="555">
        <f t="shared" si="14"/>
        <v>0</v>
      </c>
      <c r="AA64" s="555">
        <f t="shared" si="15"/>
        <v>0</v>
      </c>
      <c r="AB64" s="555">
        <f t="shared" si="16"/>
        <v>0</v>
      </c>
    </row>
    <row r="65" spans="1:28" ht="15.75" x14ac:dyDescent="0.25">
      <c r="A65" s="186">
        <v>60</v>
      </c>
      <c r="B65" s="145" t="s">
        <v>41</v>
      </c>
      <c r="C65" s="252">
        <v>0.34</v>
      </c>
      <c r="D65" s="252">
        <v>0.2</v>
      </c>
      <c r="E65" s="252">
        <v>0.06</v>
      </c>
      <c r="F65" s="252">
        <v>0.4</v>
      </c>
      <c r="G65" s="111"/>
      <c r="H65" s="111"/>
      <c r="I65" s="111"/>
      <c r="J65" s="241"/>
      <c r="K65" s="111"/>
      <c r="L65" s="111"/>
      <c r="M65" s="111"/>
      <c r="N65" s="111"/>
      <c r="O65" s="111"/>
      <c r="P65" s="111"/>
      <c r="Q65" s="111"/>
      <c r="R65" s="241"/>
      <c r="T65">
        <v>340</v>
      </c>
      <c r="U65">
        <v>200</v>
      </c>
      <c r="V65">
        <v>60</v>
      </c>
      <c r="W65">
        <v>400</v>
      </c>
      <c r="Y65" s="555">
        <f t="shared" si="13"/>
        <v>0</v>
      </c>
      <c r="Z65" s="555">
        <f t="shared" si="14"/>
        <v>0</v>
      </c>
      <c r="AA65" s="555">
        <f t="shared" si="15"/>
        <v>0</v>
      </c>
      <c r="AB65" s="555">
        <f t="shared" si="16"/>
        <v>0</v>
      </c>
    </row>
    <row r="66" spans="1:28" ht="15.75" x14ac:dyDescent="0.25">
      <c r="A66" s="186">
        <v>61</v>
      </c>
      <c r="B66" s="145" t="s">
        <v>42</v>
      </c>
      <c r="C66" s="252">
        <v>0.18</v>
      </c>
      <c r="D66" s="252">
        <v>0.2</v>
      </c>
      <c r="E66" s="252">
        <v>0</v>
      </c>
      <c r="F66" s="252">
        <v>0.62</v>
      </c>
      <c r="G66" s="111"/>
      <c r="H66" s="111"/>
      <c r="I66" s="111"/>
      <c r="J66" s="241"/>
      <c r="K66" s="111"/>
      <c r="L66" s="111"/>
      <c r="M66" s="111"/>
      <c r="N66" s="111"/>
      <c r="O66" s="111"/>
      <c r="P66" s="111"/>
      <c r="Q66" s="111"/>
      <c r="R66" s="241"/>
      <c r="T66" s="145">
        <v>180</v>
      </c>
      <c r="U66" s="145">
        <v>200</v>
      </c>
      <c r="V66" s="145">
        <v>0</v>
      </c>
      <c r="W66" s="145">
        <v>620</v>
      </c>
      <c r="Y66" s="555">
        <f t="shared" si="13"/>
        <v>0</v>
      </c>
      <c r="Z66" s="555">
        <f t="shared" si="14"/>
        <v>0</v>
      </c>
      <c r="AA66" s="555">
        <f t="shared" si="15"/>
        <v>0</v>
      </c>
      <c r="AB66" s="555">
        <f t="shared" si="16"/>
        <v>0</v>
      </c>
    </row>
    <row r="67" spans="1:28" ht="15.75" x14ac:dyDescent="0.25">
      <c r="A67" s="186">
        <v>62</v>
      </c>
      <c r="B67" s="145" t="s">
        <v>43</v>
      </c>
      <c r="C67" s="252">
        <v>0.54</v>
      </c>
      <c r="D67" s="252">
        <v>0.01</v>
      </c>
      <c r="E67" s="252">
        <v>0</v>
      </c>
      <c r="F67" s="252">
        <v>0.46</v>
      </c>
      <c r="G67" s="111"/>
      <c r="H67" s="111"/>
      <c r="I67" s="111"/>
      <c r="J67" s="241"/>
      <c r="K67" s="111"/>
      <c r="L67" s="111"/>
      <c r="M67" s="111"/>
      <c r="N67" s="111"/>
      <c r="O67" s="111"/>
      <c r="P67" s="111"/>
      <c r="Q67" s="111"/>
      <c r="R67" s="241"/>
      <c r="T67" s="145">
        <v>535</v>
      </c>
      <c r="U67" s="145">
        <v>10</v>
      </c>
      <c r="V67" s="145">
        <v>0</v>
      </c>
      <c r="W67" s="145">
        <v>455</v>
      </c>
      <c r="Y67" s="555">
        <f t="shared" si="13"/>
        <v>0</v>
      </c>
      <c r="Z67" s="555">
        <f t="shared" si="14"/>
        <v>0</v>
      </c>
      <c r="AA67" s="555">
        <f t="shared" si="15"/>
        <v>0</v>
      </c>
      <c r="AB67" s="555">
        <f t="shared" si="16"/>
        <v>0</v>
      </c>
    </row>
    <row r="68" spans="1:28" ht="15.75" x14ac:dyDescent="0.25">
      <c r="A68" s="186">
        <v>63</v>
      </c>
      <c r="B68" s="145" t="s">
        <v>44</v>
      </c>
      <c r="C68" s="252">
        <v>0.01</v>
      </c>
      <c r="D68" s="252">
        <v>0.01</v>
      </c>
      <c r="E68" s="252">
        <v>0.01</v>
      </c>
      <c r="F68" s="252">
        <v>0.98</v>
      </c>
      <c r="G68" s="111"/>
      <c r="H68" s="111"/>
      <c r="I68" s="111"/>
      <c r="J68" s="241"/>
      <c r="K68" s="111"/>
      <c r="L68" s="111"/>
      <c r="M68" s="111"/>
      <c r="N68" s="111"/>
      <c r="O68" s="111"/>
      <c r="P68" s="111"/>
      <c r="Q68" s="111"/>
      <c r="R68" s="241"/>
      <c r="T68" s="145">
        <v>10</v>
      </c>
      <c r="U68" s="145">
        <v>10</v>
      </c>
      <c r="V68" s="145">
        <v>10</v>
      </c>
      <c r="W68" s="145">
        <v>970</v>
      </c>
      <c r="Y68" s="555">
        <f t="shared" si="13"/>
        <v>0</v>
      </c>
      <c r="Z68" s="555">
        <f t="shared" si="14"/>
        <v>0</v>
      </c>
      <c r="AA68" s="555">
        <f t="shared" si="15"/>
        <v>0</v>
      </c>
      <c r="AB68" s="555">
        <f t="shared" si="16"/>
        <v>0</v>
      </c>
    </row>
    <row r="69" spans="1:28" ht="15.75" x14ac:dyDescent="0.25">
      <c r="A69" s="186">
        <v>64</v>
      </c>
      <c r="B69" s="145" t="s">
        <v>45</v>
      </c>
      <c r="C69" s="252">
        <v>0.16</v>
      </c>
      <c r="D69" s="252">
        <v>0.2</v>
      </c>
      <c r="E69" s="252">
        <v>0</v>
      </c>
      <c r="F69" s="252">
        <v>0.64</v>
      </c>
      <c r="G69" s="111"/>
      <c r="H69" s="111"/>
      <c r="I69" s="111"/>
      <c r="J69" s="241"/>
      <c r="K69" s="111"/>
      <c r="L69" s="111"/>
      <c r="M69" s="111"/>
      <c r="N69" s="111"/>
      <c r="O69" s="111"/>
      <c r="P69" s="111"/>
      <c r="Q69" s="111"/>
      <c r="R69" s="241"/>
      <c r="T69" s="145">
        <v>160</v>
      </c>
      <c r="U69" s="145">
        <v>200</v>
      </c>
      <c r="V69" s="145">
        <v>0</v>
      </c>
      <c r="W69" s="145">
        <v>640</v>
      </c>
      <c r="Y69" s="555">
        <f t="shared" si="13"/>
        <v>0</v>
      </c>
      <c r="Z69" s="555">
        <f t="shared" si="14"/>
        <v>0</v>
      </c>
      <c r="AA69" s="555">
        <f t="shared" si="15"/>
        <v>0</v>
      </c>
      <c r="AB69" s="555">
        <f t="shared" si="16"/>
        <v>0</v>
      </c>
    </row>
    <row r="70" spans="1:28" ht="15.75" x14ac:dyDescent="0.25">
      <c r="A70" s="186">
        <v>65</v>
      </c>
      <c r="B70" s="145" t="s">
        <v>46</v>
      </c>
      <c r="C70" s="252">
        <v>0.27</v>
      </c>
      <c r="D70" s="252">
        <v>0</v>
      </c>
      <c r="E70" s="252">
        <v>0</v>
      </c>
      <c r="F70" s="252">
        <v>0.73</v>
      </c>
      <c r="G70" s="111"/>
      <c r="H70" s="111"/>
      <c r="I70" s="111"/>
      <c r="J70" s="241"/>
      <c r="K70" s="111"/>
      <c r="L70" s="111"/>
      <c r="M70" s="111"/>
      <c r="N70" s="111"/>
      <c r="O70" s="111"/>
      <c r="P70" s="111"/>
      <c r="Q70" s="111"/>
      <c r="R70" s="241"/>
      <c r="T70" s="145">
        <v>270</v>
      </c>
      <c r="U70" s="145">
        <v>0</v>
      </c>
      <c r="V70" s="145">
        <v>0</v>
      </c>
      <c r="W70" s="145">
        <v>730</v>
      </c>
      <c r="Y70" s="555">
        <f t="shared" si="13"/>
        <v>0</v>
      </c>
      <c r="Z70" s="555">
        <f t="shared" si="14"/>
        <v>0</v>
      </c>
      <c r="AA70" s="555">
        <f t="shared" si="15"/>
        <v>0</v>
      </c>
      <c r="AB70" s="555">
        <f t="shared" si="16"/>
        <v>0</v>
      </c>
    </row>
    <row r="71" spans="1:28" ht="15.75" x14ac:dyDescent="0.25">
      <c r="A71" s="186">
        <v>66</v>
      </c>
      <c r="B71" s="145" t="s">
        <v>111</v>
      </c>
      <c r="C71" s="252">
        <v>0.09</v>
      </c>
      <c r="D71" s="252">
        <v>0.15</v>
      </c>
      <c r="E71" s="252">
        <v>0.01</v>
      </c>
      <c r="F71" s="252">
        <v>0.74</v>
      </c>
      <c r="G71" s="111"/>
      <c r="H71" s="111"/>
      <c r="I71" s="111"/>
      <c r="J71" s="241"/>
      <c r="K71" s="111"/>
      <c r="L71" s="111"/>
      <c r="M71" s="111"/>
      <c r="N71" s="111"/>
      <c r="O71" s="111"/>
      <c r="P71" s="111"/>
      <c r="Q71" s="111"/>
      <c r="R71" s="241"/>
      <c r="T71" s="145">
        <v>90</v>
      </c>
      <c r="U71" s="145">
        <v>150</v>
      </c>
      <c r="V71" s="145">
        <v>10</v>
      </c>
      <c r="W71" s="145">
        <v>750</v>
      </c>
      <c r="Y71" s="555">
        <f t="shared" ref="Y71:Y97" si="29">N71*1000</f>
        <v>0</v>
      </c>
      <c r="Z71" s="555">
        <f t="shared" ref="Z71:Z97" si="30">O71*1000</f>
        <v>0</v>
      </c>
      <c r="AA71" s="555">
        <f t="shared" ref="AA71:AA97" si="31">P71*1000</f>
        <v>0</v>
      </c>
      <c r="AB71" s="555">
        <f t="shared" ref="AB71:AB97" si="32">Q71*1000</f>
        <v>0</v>
      </c>
    </row>
    <row r="72" spans="1:28" ht="15.75" x14ac:dyDescent="0.25">
      <c r="A72" s="186">
        <v>67</v>
      </c>
      <c r="B72" s="145" t="s">
        <v>112</v>
      </c>
      <c r="C72" s="252">
        <v>0.5</v>
      </c>
      <c r="D72" s="252">
        <v>0.08</v>
      </c>
      <c r="E72" s="252">
        <v>0.04</v>
      </c>
      <c r="F72" s="252">
        <v>0.39</v>
      </c>
      <c r="G72" s="111"/>
      <c r="H72" s="111"/>
      <c r="I72" s="111"/>
      <c r="J72" s="241"/>
      <c r="K72" s="111"/>
      <c r="L72" s="111"/>
      <c r="M72" s="111"/>
      <c r="N72" s="111"/>
      <c r="O72" s="111"/>
      <c r="P72" s="111"/>
      <c r="Q72" s="111"/>
      <c r="R72" s="241"/>
      <c r="T72" s="145">
        <v>495</v>
      </c>
      <c r="U72" s="145">
        <v>80</v>
      </c>
      <c r="V72" s="145">
        <v>40</v>
      </c>
      <c r="W72" s="145">
        <v>385</v>
      </c>
      <c r="Y72" s="555">
        <f t="shared" si="29"/>
        <v>0</v>
      </c>
      <c r="Z72" s="555">
        <f t="shared" si="30"/>
        <v>0</v>
      </c>
      <c r="AA72" s="555">
        <f t="shared" si="31"/>
        <v>0</v>
      </c>
      <c r="AB72" s="555">
        <f t="shared" si="32"/>
        <v>0</v>
      </c>
    </row>
    <row r="73" spans="1:28" ht="15.75" x14ac:dyDescent="0.25">
      <c r="A73" s="186">
        <v>68</v>
      </c>
      <c r="B73" s="253" t="s">
        <v>113</v>
      </c>
      <c r="C73" s="252">
        <v>0.27</v>
      </c>
      <c r="D73" s="252">
        <v>0.23</v>
      </c>
      <c r="E73" s="252">
        <v>0.09</v>
      </c>
      <c r="F73" s="252">
        <v>0.41</v>
      </c>
      <c r="G73" s="111"/>
      <c r="H73" s="111"/>
      <c r="I73" s="111"/>
      <c r="J73" s="241"/>
      <c r="K73" s="111"/>
      <c r="L73" s="111"/>
      <c r="M73" s="111"/>
      <c r="N73" s="111"/>
      <c r="O73" s="111"/>
      <c r="P73" s="111"/>
      <c r="Q73" s="111"/>
      <c r="R73" s="241"/>
      <c r="T73" s="145">
        <v>270</v>
      </c>
      <c r="U73" s="145">
        <v>230</v>
      </c>
      <c r="V73" s="145">
        <v>90</v>
      </c>
      <c r="W73" s="145">
        <v>410</v>
      </c>
      <c r="Y73" s="555">
        <f t="shared" si="29"/>
        <v>0</v>
      </c>
      <c r="Z73" s="555">
        <f t="shared" si="30"/>
        <v>0</v>
      </c>
      <c r="AA73" s="555">
        <f t="shared" si="31"/>
        <v>0</v>
      </c>
      <c r="AB73" s="555">
        <f t="shared" si="32"/>
        <v>0</v>
      </c>
    </row>
    <row r="74" spans="1:28" ht="15.75" x14ac:dyDescent="0.25">
      <c r="A74" s="186">
        <v>69</v>
      </c>
      <c r="B74" s="145" t="s">
        <v>114</v>
      </c>
      <c r="C74" s="252">
        <v>0.33</v>
      </c>
      <c r="D74" s="252">
        <v>0.22</v>
      </c>
      <c r="E74" s="252">
        <v>7.0000000000000007E-2</v>
      </c>
      <c r="F74" s="252">
        <v>0.38</v>
      </c>
      <c r="G74" s="111"/>
      <c r="H74" s="111"/>
      <c r="I74" s="111"/>
      <c r="J74" s="241"/>
      <c r="K74" s="111"/>
      <c r="L74" s="111"/>
      <c r="M74" s="111"/>
      <c r="N74" s="111"/>
      <c r="O74" s="111"/>
      <c r="P74" s="111"/>
      <c r="Q74" s="111"/>
      <c r="R74" s="241"/>
      <c r="T74" s="145">
        <v>330</v>
      </c>
      <c r="U74" s="145">
        <v>220</v>
      </c>
      <c r="V74" s="145">
        <v>70</v>
      </c>
      <c r="W74" s="145">
        <v>380</v>
      </c>
      <c r="Y74" s="555">
        <f t="shared" si="29"/>
        <v>0</v>
      </c>
      <c r="Z74" s="555">
        <f t="shared" si="30"/>
        <v>0</v>
      </c>
      <c r="AA74" s="555">
        <f t="shared" si="31"/>
        <v>0</v>
      </c>
      <c r="AB74" s="555">
        <f t="shared" si="32"/>
        <v>0</v>
      </c>
    </row>
    <row r="75" spans="1:28" ht="15.75" x14ac:dyDescent="0.25">
      <c r="A75" s="186">
        <v>70</v>
      </c>
      <c r="B75" s="145" t="s">
        <v>115</v>
      </c>
      <c r="C75" s="252">
        <v>0</v>
      </c>
      <c r="D75" s="252">
        <v>0</v>
      </c>
      <c r="E75" s="252">
        <v>0</v>
      </c>
      <c r="F75" s="252">
        <v>1</v>
      </c>
      <c r="G75" s="111"/>
      <c r="H75" s="111"/>
      <c r="I75" s="111"/>
      <c r="J75" s="241"/>
      <c r="K75" s="111"/>
      <c r="L75" s="111"/>
      <c r="M75" s="111"/>
      <c r="N75" s="111"/>
      <c r="O75" s="111"/>
      <c r="P75" s="111"/>
      <c r="Q75" s="111"/>
      <c r="R75" s="241"/>
      <c r="T75" s="145">
        <v>0</v>
      </c>
      <c r="U75" s="145">
        <v>0</v>
      </c>
      <c r="V75" s="145">
        <v>0</v>
      </c>
      <c r="W75" s="145">
        <v>1000</v>
      </c>
      <c r="Y75" s="555">
        <f t="shared" si="29"/>
        <v>0</v>
      </c>
      <c r="Z75" s="555">
        <f t="shared" si="30"/>
        <v>0</v>
      </c>
      <c r="AA75" s="555">
        <f t="shared" si="31"/>
        <v>0</v>
      </c>
      <c r="AB75" s="555">
        <f t="shared" si="32"/>
        <v>0</v>
      </c>
    </row>
    <row r="76" spans="1:28" ht="15.75" x14ac:dyDescent="0.25">
      <c r="A76" s="186">
        <v>71</v>
      </c>
      <c r="B76" s="145" t="s">
        <v>116</v>
      </c>
      <c r="C76" s="252">
        <v>0.22</v>
      </c>
      <c r="D76" s="252">
        <v>0.27</v>
      </c>
      <c r="E76" s="252">
        <v>0.06</v>
      </c>
      <c r="F76" s="252">
        <v>0.45</v>
      </c>
      <c r="G76" s="111"/>
      <c r="H76" s="111"/>
      <c r="I76" s="111"/>
      <c r="J76" s="241"/>
      <c r="K76" s="111"/>
      <c r="L76" s="111"/>
      <c r="M76" s="111"/>
      <c r="N76" s="111"/>
      <c r="O76" s="111"/>
      <c r="P76" s="111"/>
      <c r="Q76" s="111"/>
      <c r="R76" s="241"/>
      <c r="T76" s="145">
        <v>220</v>
      </c>
      <c r="U76" s="145">
        <v>270</v>
      </c>
      <c r="V76" s="145">
        <v>60</v>
      </c>
      <c r="W76" s="145">
        <v>450</v>
      </c>
      <c r="Y76" s="555">
        <f t="shared" si="29"/>
        <v>0</v>
      </c>
      <c r="Z76" s="555">
        <f t="shared" si="30"/>
        <v>0</v>
      </c>
      <c r="AA76" s="555">
        <f t="shared" si="31"/>
        <v>0</v>
      </c>
      <c r="AB76" s="555">
        <f t="shared" si="32"/>
        <v>0</v>
      </c>
    </row>
    <row r="77" spans="1:28" ht="15.75" x14ac:dyDescent="0.25">
      <c r="A77" s="186">
        <v>72</v>
      </c>
      <c r="B77" s="145" t="s">
        <v>117</v>
      </c>
      <c r="C77" s="252">
        <v>0.39</v>
      </c>
      <c r="D77" s="252">
        <v>0.2</v>
      </c>
      <c r="E77" s="252">
        <v>0.09</v>
      </c>
      <c r="F77" s="252">
        <v>0.33</v>
      </c>
      <c r="G77" s="111"/>
      <c r="H77" s="111"/>
      <c r="I77" s="111"/>
      <c r="J77" s="241"/>
      <c r="K77" s="111"/>
      <c r="L77" s="111"/>
      <c r="M77" s="111"/>
      <c r="N77" s="111"/>
      <c r="O77" s="111"/>
      <c r="P77" s="111"/>
      <c r="Q77" s="111"/>
      <c r="R77" s="241"/>
      <c r="T77" s="145">
        <v>385</v>
      </c>
      <c r="U77" s="145">
        <v>200</v>
      </c>
      <c r="V77" s="145">
        <v>90</v>
      </c>
      <c r="W77" s="145">
        <v>325</v>
      </c>
      <c r="Y77" s="555">
        <f t="shared" si="29"/>
        <v>0</v>
      </c>
      <c r="Z77" s="555">
        <f t="shared" si="30"/>
        <v>0</v>
      </c>
      <c r="AA77" s="555">
        <f t="shared" si="31"/>
        <v>0</v>
      </c>
      <c r="AB77" s="555">
        <f t="shared" si="32"/>
        <v>0</v>
      </c>
    </row>
    <row r="78" spans="1:28" ht="15.75" x14ac:dyDescent="0.25">
      <c r="A78" s="186">
        <v>73</v>
      </c>
      <c r="B78" s="145" t="s">
        <v>118</v>
      </c>
      <c r="C78" s="252">
        <v>0.53</v>
      </c>
      <c r="D78" s="252">
        <v>0.08</v>
      </c>
      <c r="E78" s="252">
        <v>0.04</v>
      </c>
      <c r="F78" s="252">
        <v>0.35</v>
      </c>
      <c r="G78" s="111"/>
      <c r="H78" s="111"/>
      <c r="I78" s="111"/>
      <c r="J78" s="241"/>
      <c r="K78" s="111"/>
      <c r="L78" s="111"/>
      <c r="M78" s="111"/>
      <c r="N78" s="111"/>
      <c r="O78" s="111"/>
      <c r="P78" s="111"/>
      <c r="Q78" s="111"/>
      <c r="R78" s="241"/>
      <c r="T78" s="145">
        <v>530</v>
      </c>
      <c r="U78" s="145">
        <v>80</v>
      </c>
      <c r="V78" s="145">
        <v>40</v>
      </c>
      <c r="W78" s="145">
        <v>350</v>
      </c>
      <c r="Y78" s="555">
        <f t="shared" si="29"/>
        <v>0</v>
      </c>
      <c r="Z78" s="555">
        <f t="shared" si="30"/>
        <v>0</v>
      </c>
      <c r="AA78" s="555">
        <f t="shared" si="31"/>
        <v>0</v>
      </c>
      <c r="AB78" s="555">
        <f t="shared" si="32"/>
        <v>0</v>
      </c>
    </row>
    <row r="79" spans="1:28" ht="15.75" x14ac:dyDescent="0.25">
      <c r="A79" s="186">
        <v>74</v>
      </c>
      <c r="B79" s="145" t="s">
        <v>119</v>
      </c>
      <c r="C79" s="252">
        <v>0.43</v>
      </c>
      <c r="D79" s="252">
        <v>0.16</v>
      </c>
      <c r="E79" s="252">
        <v>0.08</v>
      </c>
      <c r="F79" s="252">
        <v>0.33</v>
      </c>
      <c r="G79" s="111"/>
      <c r="H79" s="111"/>
      <c r="I79" s="111"/>
      <c r="J79" s="241"/>
      <c r="K79" s="111"/>
      <c r="L79" s="111"/>
      <c r="M79" s="111"/>
      <c r="N79" s="111"/>
      <c r="O79" s="111"/>
      <c r="P79" s="111"/>
      <c r="Q79" s="111"/>
      <c r="R79" s="241"/>
      <c r="T79" s="145">
        <v>430</v>
      </c>
      <c r="U79" s="145">
        <v>160</v>
      </c>
      <c r="V79" s="145">
        <v>80</v>
      </c>
      <c r="W79" s="145">
        <v>330</v>
      </c>
      <c r="Y79" s="555">
        <f t="shared" si="29"/>
        <v>0</v>
      </c>
      <c r="Z79" s="555">
        <f t="shared" si="30"/>
        <v>0</v>
      </c>
      <c r="AA79" s="555">
        <f t="shared" si="31"/>
        <v>0</v>
      </c>
      <c r="AB79" s="555">
        <f t="shared" si="32"/>
        <v>0</v>
      </c>
    </row>
    <row r="80" spans="1:28" ht="15.75" x14ac:dyDescent="0.25">
      <c r="A80" s="186">
        <v>75</v>
      </c>
      <c r="B80" s="145" t="s">
        <v>120</v>
      </c>
      <c r="C80" s="252">
        <v>0.36</v>
      </c>
      <c r="D80" s="252">
        <v>0.23</v>
      </c>
      <c r="E80" s="252">
        <v>0.08</v>
      </c>
      <c r="F80" s="252">
        <v>0.33</v>
      </c>
      <c r="G80" s="111"/>
      <c r="H80" s="111"/>
      <c r="I80" s="111"/>
      <c r="J80" s="241"/>
      <c r="K80" s="111"/>
      <c r="L80" s="111"/>
      <c r="M80" s="111"/>
      <c r="N80" s="111"/>
      <c r="O80" s="111"/>
      <c r="P80" s="111"/>
      <c r="Q80" s="111"/>
      <c r="R80" s="241"/>
      <c r="T80" s="145">
        <v>360</v>
      </c>
      <c r="U80" s="145">
        <v>230</v>
      </c>
      <c r="V80" s="145">
        <v>80</v>
      </c>
      <c r="W80" s="145">
        <v>330</v>
      </c>
      <c r="Y80" s="555">
        <f t="shared" si="29"/>
        <v>0</v>
      </c>
      <c r="Z80" s="555">
        <f t="shared" si="30"/>
        <v>0</v>
      </c>
      <c r="AA80" s="555">
        <f t="shared" si="31"/>
        <v>0</v>
      </c>
      <c r="AB80" s="555">
        <f t="shared" si="32"/>
        <v>0</v>
      </c>
    </row>
    <row r="81" spans="1:28" ht="15.75" x14ac:dyDescent="0.25">
      <c r="A81" s="186">
        <v>76</v>
      </c>
      <c r="B81" s="145" t="s">
        <v>121</v>
      </c>
      <c r="C81" s="252">
        <v>0.26</v>
      </c>
      <c r="D81" s="252">
        <v>0.19</v>
      </c>
      <c r="E81" s="252">
        <v>0.05</v>
      </c>
      <c r="F81" s="252">
        <v>0.5</v>
      </c>
      <c r="G81" s="111"/>
      <c r="H81" s="111"/>
      <c r="I81" s="111"/>
      <c r="J81" s="241"/>
      <c r="K81" s="111"/>
      <c r="L81" s="111"/>
      <c r="M81" s="111"/>
      <c r="N81" s="111"/>
      <c r="O81" s="111"/>
      <c r="P81" s="111"/>
      <c r="Q81" s="111"/>
      <c r="R81" s="241"/>
      <c r="T81" s="145">
        <v>260</v>
      </c>
      <c r="U81" s="145">
        <v>190</v>
      </c>
      <c r="V81" s="145">
        <v>50</v>
      </c>
      <c r="W81" s="145">
        <v>500</v>
      </c>
      <c r="Y81" s="555">
        <f t="shared" si="29"/>
        <v>0</v>
      </c>
      <c r="Z81" s="555">
        <f t="shared" si="30"/>
        <v>0</v>
      </c>
      <c r="AA81" s="555">
        <f t="shared" si="31"/>
        <v>0</v>
      </c>
      <c r="AB81" s="555">
        <f t="shared" si="32"/>
        <v>0</v>
      </c>
    </row>
    <row r="82" spans="1:28" ht="15.75" x14ac:dyDescent="0.25">
      <c r="A82" s="186">
        <v>77</v>
      </c>
      <c r="B82" s="145" t="s">
        <v>122</v>
      </c>
      <c r="C82" s="252">
        <v>0.34</v>
      </c>
      <c r="D82" s="252">
        <v>0.12</v>
      </c>
      <c r="E82" s="252">
        <v>0.03</v>
      </c>
      <c r="F82" s="252">
        <v>0.51</v>
      </c>
      <c r="G82" s="111"/>
      <c r="H82" s="111"/>
      <c r="I82" s="111"/>
      <c r="J82" s="241"/>
      <c r="K82" s="111"/>
      <c r="L82" s="111"/>
      <c r="M82" s="111"/>
      <c r="N82" s="111"/>
      <c r="O82" s="111"/>
      <c r="P82" s="111"/>
      <c r="Q82" s="111"/>
      <c r="R82" s="241"/>
      <c r="T82" s="145">
        <v>340</v>
      </c>
      <c r="U82" s="145">
        <v>120</v>
      </c>
      <c r="V82" s="145">
        <v>30</v>
      </c>
      <c r="W82" s="145">
        <v>510</v>
      </c>
      <c r="Y82" s="555">
        <f t="shared" si="29"/>
        <v>0</v>
      </c>
      <c r="Z82" s="555">
        <f t="shared" si="30"/>
        <v>0</v>
      </c>
      <c r="AA82" s="555">
        <f t="shared" si="31"/>
        <v>0</v>
      </c>
      <c r="AB82" s="555">
        <f t="shared" si="32"/>
        <v>0</v>
      </c>
    </row>
    <row r="83" spans="1:28" ht="15.75" x14ac:dyDescent="0.25">
      <c r="A83" s="186">
        <v>78</v>
      </c>
      <c r="B83" s="145" t="s">
        <v>123</v>
      </c>
      <c r="C83" s="252">
        <v>0.42</v>
      </c>
      <c r="D83" s="252">
        <v>0.16</v>
      </c>
      <c r="E83" s="252">
        <v>0.05</v>
      </c>
      <c r="F83" s="252">
        <v>0.38</v>
      </c>
      <c r="G83" s="111"/>
      <c r="H83" s="111"/>
      <c r="I83" s="111"/>
      <c r="J83" s="241"/>
      <c r="K83" s="111"/>
      <c r="L83" s="111"/>
      <c r="M83" s="111"/>
      <c r="N83" s="111"/>
      <c r="O83" s="111"/>
      <c r="P83" s="111"/>
      <c r="Q83" s="111"/>
      <c r="R83" s="241"/>
      <c r="T83" s="145">
        <v>415</v>
      </c>
      <c r="U83" s="145">
        <v>160</v>
      </c>
      <c r="V83" s="145">
        <v>50</v>
      </c>
      <c r="W83" s="145">
        <v>375</v>
      </c>
      <c r="Y83" s="555">
        <f t="shared" si="29"/>
        <v>0</v>
      </c>
      <c r="Z83" s="555">
        <f t="shared" si="30"/>
        <v>0</v>
      </c>
      <c r="AA83" s="555">
        <f t="shared" si="31"/>
        <v>0</v>
      </c>
      <c r="AB83" s="555">
        <f t="shared" si="32"/>
        <v>0</v>
      </c>
    </row>
    <row r="84" spans="1:28" ht="15.75" x14ac:dyDescent="0.25">
      <c r="A84" s="186">
        <v>79</v>
      </c>
      <c r="B84" s="145" t="s">
        <v>124</v>
      </c>
      <c r="C84" s="252">
        <v>0</v>
      </c>
      <c r="D84" s="252">
        <v>0</v>
      </c>
      <c r="E84" s="252">
        <v>0</v>
      </c>
      <c r="F84" s="252">
        <v>1</v>
      </c>
      <c r="G84" s="111"/>
      <c r="H84" s="111"/>
      <c r="I84" s="111"/>
      <c r="J84" s="241"/>
      <c r="K84" s="111"/>
      <c r="L84" s="111"/>
      <c r="M84" s="111"/>
      <c r="N84" s="111"/>
      <c r="O84" s="111"/>
      <c r="P84" s="111"/>
      <c r="Q84" s="111"/>
      <c r="R84" s="241"/>
      <c r="T84" s="145">
        <v>0</v>
      </c>
      <c r="U84" s="145">
        <v>0</v>
      </c>
      <c r="V84" s="145">
        <v>0</v>
      </c>
      <c r="W84" s="145">
        <v>1000</v>
      </c>
      <c r="Y84" s="555">
        <f t="shared" si="29"/>
        <v>0</v>
      </c>
      <c r="Z84" s="555">
        <f t="shared" si="30"/>
        <v>0</v>
      </c>
      <c r="AA84" s="555">
        <f t="shared" si="31"/>
        <v>0</v>
      </c>
      <c r="AB84" s="555">
        <f t="shared" si="32"/>
        <v>0</v>
      </c>
    </row>
    <row r="85" spans="1:28" ht="15.75" x14ac:dyDescent="0.25">
      <c r="A85" s="186">
        <v>80</v>
      </c>
      <c r="B85" s="145" t="s">
        <v>125</v>
      </c>
      <c r="C85" s="252">
        <v>0.37</v>
      </c>
      <c r="D85" s="252">
        <v>0.16</v>
      </c>
      <c r="E85" s="252">
        <v>0.05</v>
      </c>
      <c r="F85" s="252">
        <v>0.42</v>
      </c>
      <c r="G85" s="111"/>
      <c r="H85" s="111"/>
      <c r="I85" s="111"/>
      <c r="J85" s="241"/>
      <c r="K85" s="111"/>
      <c r="L85" s="111"/>
      <c r="M85" s="111"/>
      <c r="N85" s="111"/>
      <c r="O85" s="111"/>
      <c r="P85" s="111"/>
      <c r="Q85" s="111"/>
      <c r="R85" s="241"/>
      <c r="T85" s="145">
        <v>370</v>
      </c>
      <c r="U85" s="145">
        <v>160</v>
      </c>
      <c r="V85" s="145">
        <v>50</v>
      </c>
      <c r="W85" s="145">
        <v>420</v>
      </c>
      <c r="Y85" s="555">
        <f t="shared" si="29"/>
        <v>0</v>
      </c>
      <c r="Z85" s="555">
        <f t="shared" si="30"/>
        <v>0</v>
      </c>
      <c r="AA85" s="555">
        <f t="shared" si="31"/>
        <v>0</v>
      </c>
      <c r="AB85" s="555">
        <f t="shared" si="32"/>
        <v>0</v>
      </c>
    </row>
    <row r="86" spans="1:28" ht="15.75" x14ac:dyDescent="0.25">
      <c r="A86" s="186">
        <v>81</v>
      </c>
      <c r="B86" s="145" t="s">
        <v>126</v>
      </c>
      <c r="C86" s="252">
        <v>0.4</v>
      </c>
      <c r="D86" s="252">
        <v>0.11</v>
      </c>
      <c r="E86" s="252">
        <v>0.04</v>
      </c>
      <c r="F86" s="252">
        <v>0.45</v>
      </c>
      <c r="G86" s="111"/>
      <c r="H86" s="111"/>
      <c r="I86" s="111"/>
      <c r="J86" s="241"/>
      <c r="K86" s="111"/>
      <c r="L86" s="111"/>
      <c r="M86" s="111"/>
      <c r="N86" s="111"/>
      <c r="O86" s="111"/>
      <c r="P86" s="111"/>
      <c r="Q86" s="111"/>
      <c r="R86" s="241"/>
      <c r="T86" s="145">
        <v>400</v>
      </c>
      <c r="U86" s="145">
        <v>110</v>
      </c>
      <c r="V86" s="145">
        <v>40</v>
      </c>
      <c r="W86" s="145">
        <v>450</v>
      </c>
      <c r="Y86" s="555">
        <f t="shared" si="29"/>
        <v>0</v>
      </c>
      <c r="Z86" s="555">
        <f t="shared" si="30"/>
        <v>0</v>
      </c>
      <c r="AA86" s="555">
        <f t="shared" si="31"/>
        <v>0</v>
      </c>
      <c r="AB86" s="555">
        <f t="shared" si="32"/>
        <v>0</v>
      </c>
    </row>
    <row r="87" spans="1:28" ht="15.75" x14ac:dyDescent="0.25">
      <c r="A87" s="186">
        <v>82</v>
      </c>
      <c r="B87" s="145" t="s">
        <v>127</v>
      </c>
      <c r="C87" s="252">
        <v>0.47</v>
      </c>
      <c r="D87" s="252">
        <v>0.1</v>
      </c>
      <c r="E87" s="252">
        <v>0.05</v>
      </c>
      <c r="F87" s="252">
        <v>0.38</v>
      </c>
      <c r="G87" s="111"/>
      <c r="H87" s="111"/>
      <c r="I87" s="111"/>
      <c r="J87" s="241"/>
      <c r="K87" s="111"/>
      <c r="L87" s="111"/>
      <c r="M87" s="111"/>
      <c r="N87" s="111"/>
      <c r="O87" s="111"/>
      <c r="P87" s="111"/>
      <c r="Q87" s="111"/>
      <c r="R87" s="241"/>
      <c r="T87" s="145">
        <v>470</v>
      </c>
      <c r="U87" s="145">
        <v>100</v>
      </c>
      <c r="V87" s="145">
        <v>50</v>
      </c>
      <c r="W87" s="145">
        <v>380</v>
      </c>
      <c r="Y87" s="555">
        <f t="shared" si="29"/>
        <v>0</v>
      </c>
      <c r="Z87" s="555">
        <f t="shared" si="30"/>
        <v>0</v>
      </c>
      <c r="AA87" s="555">
        <f t="shared" si="31"/>
        <v>0</v>
      </c>
      <c r="AB87" s="555">
        <f t="shared" si="32"/>
        <v>0</v>
      </c>
    </row>
    <row r="88" spans="1:28" ht="15.75" x14ac:dyDescent="0.25">
      <c r="A88" s="186">
        <v>83</v>
      </c>
      <c r="B88" s="145" t="s">
        <v>128</v>
      </c>
      <c r="C88" s="252">
        <v>0.16</v>
      </c>
      <c r="D88" s="252">
        <v>0.21</v>
      </c>
      <c r="E88" s="252">
        <v>0</v>
      </c>
      <c r="F88" s="252">
        <v>0.62</v>
      </c>
      <c r="G88" s="111"/>
      <c r="H88" s="111"/>
      <c r="I88" s="111"/>
      <c r="J88" s="241"/>
      <c r="K88" s="111"/>
      <c r="L88" s="111"/>
      <c r="M88" s="111"/>
      <c r="N88" s="111"/>
      <c r="O88" s="111"/>
      <c r="P88" s="111"/>
      <c r="Q88" s="111"/>
      <c r="R88" s="241"/>
      <c r="T88" s="145">
        <v>160</v>
      </c>
      <c r="U88" s="145">
        <v>215</v>
      </c>
      <c r="V88" s="145">
        <v>0</v>
      </c>
      <c r="W88" s="145">
        <v>625</v>
      </c>
      <c r="Y88" s="555">
        <f t="shared" si="29"/>
        <v>0</v>
      </c>
      <c r="Z88" s="555">
        <f t="shared" si="30"/>
        <v>0</v>
      </c>
      <c r="AA88" s="555">
        <f t="shared" si="31"/>
        <v>0</v>
      </c>
      <c r="AB88" s="555">
        <f t="shared" si="32"/>
        <v>0</v>
      </c>
    </row>
    <row r="89" spans="1:28" ht="15.75" x14ac:dyDescent="0.25">
      <c r="A89" s="186">
        <v>84</v>
      </c>
      <c r="B89" s="145" t="s">
        <v>129</v>
      </c>
      <c r="C89" s="252">
        <v>0.47</v>
      </c>
      <c r="D89" s="252">
        <v>0.1</v>
      </c>
      <c r="E89" s="252">
        <v>0.05</v>
      </c>
      <c r="F89" s="252">
        <v>0.38</v>
      </c>
      <c r="G89" s="111"/>
      <c r="H89" s="111"/>
      <c r="I89" s="111"/>
      <c r="J89" s="241"/>
      <c r="K89" s="111"/>
      <c r="L89" s="111"/>
      <c r="M89" s="111"/>
      <c r="N89" s="111"/>
      <c r="O89" s="111"/>
      <c r="P89" s="111"/>
      <c r="Q89" s="111"/>
      <c r="R89" s="241"/>
      <c r="T89" s="145">
        <v>470</v>
      </c>
      <c r="U89" s="145">
        <v>100</v>
      </c>
      <c r="V89" s="145">
        <v>50</v>
      </c>
      <c r="W89" s="145">
        <v>380</v>
      </c>
      <c r="Y89" s="555">
        <f t="shared" si="29"/>
        <v>0</v>
      </c>
      <c r="Z89" s="555">
        <f t="shared" si="30"/>
        <v>0</v>
      </c>
      <c r="AA89" s="555">
        <f t="shared" si="31"/>
        <v>0</v>
      </c>
      <c r="AB89" s="555">
        <f t="shared" si="32"/>
        <v>0</v>
      </c>
    </row>
    <row r="90" spans="1:28" ht="15.75" x14ac:dyDescent="0.25">
      <c r="A90" s="186">
        <v>85</v>
      </c>
      <c r="B90" s="145" t="s">
        <v>130</v>
      </c>
      <c r="C90" s="252">
        <v>0.5</v>
      </c>
      <c r="D90" s="252">
        <v>7.0000000000000007E-2</v>
      </c>
      <c r="E90" s="252">
        <v>0.03</v>
      </c>
      <c r="F90" s="252">
        <v>0.4</v>
      </c>
      <c r="G90" s="111"/>
      <c r="H90" s="111"/>
      <c r="I90" s="111"/>
      <c r="J90" s="241"/>
      <c r="K90" s="111"/>
      <c r="L90" s="111"/>
      <c r="M90" s="111"/>
      <c r="N90" s="111"/>
      <c r="O90" s="111"/>
      <c r="P90" s="111"/>
      <c r="Q90" s="111"/>
      <c r="R90" s="241"/>
      <c r="T90" s="145">
        <v>500</v>
      </c>
      <c r="U90" s="145">
        <v>70</v>
      </c>
      <c r="V90" s="145">
        <v>30</v>
      </c>
      <c r="W90" s="145">
        <v>400</v>
      </c>
      <c r="Y90" s="555">
        <f t="shared" si="29"/>
        <v>0</v>
      </c>
      <c r="Z90" s="555">
        <f t="shared" si="30"/>
        <v>0</v>
      </c>
      <c r="AA90" s="555">
        <f t="shared" si="31"/>
        <v>0</v>
      </c>
      <c r="AB90" s="555">
        <f t="shared" si="32"/>
        <v>0</v>
      </c>
    </row>
    <row r="91" spans="1:28" ht="15.75" x14ac:dyDescent="0.25">
      <c r="A91" s="186">
        <v>86</v>
      </c>
      <c r="B91" s="145" t="s">
        <v>131</v>
      </c>
      <c r="C91" s="252">
        <v>0.3</v>
      </c>
      <c r="D91" s="252">
        <v>0.28999999999999998</v>
      </c>
      <c r="E91" s="252">
        <v>0.13</v>
      </c>
      <c r="F91" s="252">
        <v>0.28000000000000003</v>
      </c>
      <c r="G91" s="111"/>
      <c r="H91" s="111"/>
      <c r="I91" s="111"/>
      <c r="J91" s="241"/>
      <c r="K91" s="111"/>
      <c r="L91" s="111"/>
      <c r="M91" s="111"/>
      <c r="N91" s="111"/>
      <c r="O91" s="111"/>
      <c r="P91" s="111"/>
      <c r="Q91" s="111"/>
      <c r="R91" s="241"/>
      <c r="T91" s="145">
        <v>300</v>
      </c>
      <c r="U91" s="145">
        <v>290</v>
      </c>
      <c r="V91" s="145">
        <v>130</v>
      </c>
      <c r="W91" s="145">
        <v>280</v>
      </c>
      <c r="Y91" s="555">
        <f t="shared" si="29"/>
        <v>0</v>
      </c>
      <c r="Z91" s="555">
        <f t="shared" si="30"/>
        <v>0</v>
      </c>
      <c r="AA91" s="555">
        <f t="shared" si="31"/>
        <v>0</v>
      </c>
      <c r="AB91" s="555">
        <f t="shared" si="32"/>
        <v>0</v>
      </c>
    </row>
    <row r="92" spans="1:28" ht="15.75" x14ac:dyDescent="0.25">
      <c r="A92" s="186">
        <v>87</v>
      </c>
      <c r="B92" s="145" t="s">
        <v>132</v>
      </c>
      <c r="C92" s="252">
        <v>0.22</v>
      </c>
      <c r="D92" s="252">
        <v>0.33</v>
      </c>
      <c r="E92" s="252">
        <v>0.08</v>
      </c>
      <c r="F92" s="252">
        <v>0.37</v>
      </c>
      <c r="G92" s="111"/>
      <c r="H92" s="111"/>
      <c r="I92" s="111"/>
      <c r="J92" s="241"/>
      <c r="K92" s="111"/>
      <c r="L92" s="111"/>
      <c r="M92" s="111"/>
      <c r="N92" s="111"/>
      <c r="O92" s="111"/>
      <c r="P92" s="111"/>
      <c r="Q92" s="111"/>
      <c r="R92" s="241"/>
      <c r="T92" s="145">
        <v>220</v>
      </c>
      <c r="U92" s="145">
        <v>330</v>
      </c>
      <c r="V92" s="145">
        <v>80</v>
      </c>
      <c r="W92" s="145">
        <v>370</v>
      </c>
      <c r="Y92" s="555">
        <f t="shared" si="29"/>
        <v>0</v>
      </c>
      <c r="Z92" s="555">
        <f t="shared" si="30"/>
        <v>0</v>
      </c>
      <c r="AA92" s="555">
        <f t="shared" si="31"/>
        <v>0</v>
      </c>
      <c r="AB92" s="555">
        <f t="shared" si="32"/>
        <v>0</v>
      </c>
    </row>
    <row r="93" spans="1:28" ht="15.75" x14ac:dyDescent="0.25">
      <c r="A93" s="186">
        <v>88</v>
      </c>
      <c r="B93" s="145" t="s">
        <v>133</v>
      </c>
      <c r="C93" s="252">
        <v>0.34</v>
      </c>
      <c r="D93" s="252">
        <v>0.18</v>
      </c>
      <c r="E93" s="252">
        <v>0.06</v>
      </c>
      <c r="F93" s="252">
        <v>0.43</v>
      </c>
      <c r="G93" s="111"/>
      <c r="H93" s="111"/>
      <c r="I93" s="111"/>
      <c r="J93" s="241"/>
      <c r="K93" s="111"/>
      <c r="L93" s="111"/>
      <c r="M93" s="111"/>
      <c r="N93" s="111"/>
      <c r="O93" s="111"/>
      <c r="P93" s="111"/>
      <c r="Q93" s="111"/>
      <c r="R93" s="241"/>
      <c r="T93" s="145">
        <v>335</v>
      </c>
      <c r="U93" s="145">
        <v>180</v>
      </c>
      <c r="V93" s="145">
        <v>60</v>
      </c>
      <c r="W93" s="145">
        <v>425</v>
      </c>
      <c r="Y93" s="555">
        <f t="shared" si="29"/>
        <v>0</v>
      </c>
      <c r="Z93" s="555">
        <f t="shared" si="30"/>
        <v>0</v>
      </c>
      <c r="AA93" s="555">
        <f t="shared" si="31"/>
        <v>0</v>
      </c>
      <c r="AB93" s="555">
        <f t="shared" si="32"/>
        <v>0</v>
      </c>
    </row>
    <row r="94" spans="1:28" ht="15.75" x14ac:dyDescent="0.25">
      <c r="A94" s="186">
        <v>89</v>
      </c>
      <c r="B94" s="145" t="s">
        <v>134</v>
      </c>
      <c r="C94" s="252">
        <v>0.4</v>
      </c>
      <c r="D94" s="252">
        <v>0.18</v>
      </c>
      <c r="E94" s="252">
        <v>0.06</v>
      </c>
      <c r="F94" s="252">
        <v>0.37</v>
      </c>
      <c r="G94" s="111"/>
      <c r="H94" s="111"/>
      <c r="I94" s="111"/>
      <c r="J94" s="241"/>
      <c r="K94" s="111"/>
      <c r="L94" s="111"/>
      <c r="M94" s="111"/>
      <c r="N94" s="111"/>
      <c r="O94" s="111"/>
      <c r="P94" s="111"/>
      <c r="Q94" s="111"/>
      <c r="R94" s="241"/>
      <c r="T94" s="145">
        <v>395</v>
      </c>
      <c r="U94" s="145">
        <v>180</v>
      </c>
      <c r="V94" s="145">
        <v>60</v>
      </c>
      <c r="W94" s="145">
        <v>365</v>
      </c>
      <c r="Y94" s="555">
        <f t="shared" si="29"/>
        <v>0</v>
      </c>
      <c r="Z94" s="555">
        <f t="shared" si="30"/>
        <v>0</v>
      </c>
      <c r="AA94" s="555">
        <f t="shared" si="31"/>
        <v>0</v>
      </c>
      <c r="AB94" s="555">
        <f t="shared" si="32"/>
        <v>0</v>
      </c>
    </row>
    <row r="95" spans="1:28" ht="15.75" x14ac:dyDescent="0.25">
      <c r="A95" s="186">
        <v>90</v>
      </c>
      <c r="B95" s="145" t="s">
        <v>135</v>
      </c>
      <c r="C95" s="252">
        <v>0.27</v>
      </c>
      <c r="D95" s="252">
        <v>0.2</v>
      </c>
      <c r="E95" s="252">
        <v>0.04</v>
      </c>
      <c r="F95" s="252">
        <v>0.49</v>
      </c>
      <c r="G95" s="111"/>
      <c r="H95" s="111"/>
      <c r="I95" s="111"/>
      <c r="J95" s="241"/>
      <c r="K95" s="111"/>
      <c r="L95" s="111"/>
      <c r="M95" s="111"/>
      <c r="N95" s="111"/>
      <c r="O95" s="111"/>
      <c r="P95" s="111"/>
      <c r="Q95" s="111"/>
      <c r="R95" s="241"/>
      <c r="T95" s="145">
        <v>270</v>
      </c>
      <c r="U95" s="145">
        <v>200</v>
      </c>
      <c r="V95" s="145">
        <v>40</v>
      </c>
      <c r="W95" s="145">
        <v>490</v>
      </c>
      <c r="Y95" s="555">
        <f t="shared" si="29"/>
        <v>0</v>
      </c>
      <c r="Z95" s="555">
        <f t="shared" si="30"/>
        <v>0</v>
      </c>
      <c r="AA95" s="555">
        <f t="shared" si="31"/>
        <v>0</v>
      </c>
      <c r="AB95" s="555">
        <f t="shared" si="32"/>
        <v>0</v>
      </c>
    </row>
    <row r="96" spans="1:28" ht="15.75" x14ac:dyDescent="0.25">
      <c r="A96" s="186">
        <v>91</v>
      </c>
      <c r="B96" s="145" t="s">
        <v>136</v>
      </c>
      <c r="C96" s="252">
        <v>0.4</v>
      </c>
      <c r="D96" s="252">
        <v>0.11</v>
      </c>
      <c r="E96" s="252">
        <v>0.04</v>
      </c>
      <c r="F96" s="252">
        <v>0.45</v>
      </c>
      <c r="G96" s="111"/>
      <c r="H96" s="111"/>
      <c r="I96" s="111"/>
      <c r="J96" s="241"/>
      <c r="K96" s="111"/>
      <c r="L96" s="111"/>
      <c r="M96" s="111"/>
      <c r="N96" s="111"/>
      <c r="O96" s="111"/>
      <c r="P96" s="111"/>
      <c r="Q96" s="111"/>
      <c r="R96" s="241"/>
      <c r="T96" s="145">
        <v>400</v>
      </c>
      <c r="U96" s="145">
        <v>110</v>
      </c>
      <c r="V96" s="145">
        <v>40</v>
      </c>
      <c r="W96" s="145">
        <v>450</v>
      </c>
      <c r="Y96" s="555">
        <f t="shared" si="29"/>
        <v>0</v>
      </c>
      <c r="Z96" s="555">
        <f t="shared" si="30"/>
        <v>0</v>
      </c>
      <c r="AA96" s="555">
        <f t="shared" si="31"/>
        <v>0</v>
      </c>
      <c r="AB96" s="555">
        <f t="shared" si="32"/>
        <v>0</v>
      </c>
    </row>
    <row r="97" spans="1:28" ht="15.75" x14ac:dyDescent="0.25">
      <c r="A97" s="186">
        <v>92</v>
      </c>
      <c r="B97" s="145" t="s">
        <v>137</v>
      </c>
      <c r="C97" s="252">
        <v>0.22</v>
      </c>
      <c r="D97" s="252">
        <v>0.3</v>
      </c>
      <c r="E97" s="252">
        <v>0.05</v>
      </c>
      <c r="F97" s="252">
        <v>0.42</v>
      </c>
      <c r="G97" s="111"/>
      <c r="H97" s="111"/>
      <c r="I97" s="111"/>
      <c r="J97" s="241"/>
      <c r="K97" s="111"/>
      <c r="L97" s="111"/>
      <c r="M97" s="111"/>
      <c r="N97" s="111"/>
      <c r="O97" s="111"/>
      <c r="P97" s="111"/>
      <c r="Q97" s="111"/>
      <c r="R97" s="241"/>
      <c r="T97" s="145">
        <v>225</v>
      </c>
      <c r="U97" s="145">
        <v>300</v>
      </c>
      <c r="V97" s="145">
        <v>50</v>
      </c>
      <c r="W97" s="145">
        <v>425</v>
      </c>
      <c r="Y97" s="555">
        <f t="shared" si="29"/>
        <v>0</v>
      </c>
      <c r="Z97" s="555">
        <f t="shared" si="30"/>
        <v>0</v>
      </c>
      <c r="AA97" s="555">
        <f t="shared" si="31"/>
        <v>0</v>
      </c>
      <c r="AB97" s="555">
        <f t="shared" si="32"/>
        <v>0</v>
      </c>
    </row>
    <row r="98" spans="1:28" ht="18.75" x14ac:dyDescent="0.3">
      <c r="A98" s="43"/>
      <c r="B98" s="145"/>
      <c r="C98" s="256"/>
      <c r="D98" s="256"/>
      <c r="E98" s="256"/>
      <c r="F98" s="256"/>
      <c r="G98" s="111"/>
      <c r="H98" s="111"/>
      <c r="I98" s="111"/>
      <c r="J98" s="241"/>
      <c r="K98" s="111"/>
      <c r="L98" s="111"/>
      <c r="M98" s="111"/>
      <c r="N98" s="257"/>
      <c r="O98" s="257"/>
      <c r="P98" s="257"/>
      <c r="Q98" s="257"/>
      <c r="R98" s="241"/>
      <c r="T98" s="145"/>
      <c r="U98" s="145"/>
      <c r="V98" s="145"/>
      <c r="W98" s="145"/>
    </row>
  </sheetData>
  <mergeCells count="7">
    <mergeCell ref="Y4:AB4"/>
    <mergeCell ref="K3:Q3"/>
    <mergeCell ref="C4:F4"/>
    <mergeCell ref="G4:I4"/>
    <mergeCell ref="K4:M4"/>
    <mergeCell ref="N4:Q4"/>
    <mergeCell ref="T4:W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9977-C66B-49AB-A403-3A15D63BB5DF}">
  <sheetPr>
    <tabColor theme="5"/>
  </sheetPr>
  <dimension ref="A1:AD126"/>
  <sheetViews>
    <sheetView workbookViewId="0">
      <pane ySplit="3" topLeftCell="A4" activePane="bottomLeft" state="frozen"/>
      <selection pane="bottomLeft" activeCell="F10" sqref="F10"/>
    </sheetView>
  </sheetViews>
  <sheetFormatPr defaultRowHeight="15.75" x14ac:dyDescent="0.25"/>
  <cols>
    <col min="1" max="1" width="9.140625" style="84"/>
    <col min="2" max="2" width="23.85546875" style="145" customWidth="1"/>
    <col min="3" max="10" width="10.7109375" style="211" customWidth="1"/>
    <col min="11" max="11" width="4.7109375" style="211" customWidth="1"/>
    <col min="12" max="15" width="9.140625" style="145"/>
    <col min="16" max="16" width="9.140625" style="204"/>
    <col min="17" max="17" width="4.7109375" style="211" customWidth="1"/>
  </cols>
  <sheetData>
    <row r="1" spans="1:30" ht="15" x14ac:dyDescent="0.25">
      <c r="A1"/>
      <c r="B1" s="1" t="s">
        <v>551</v>
      </c>
      <c r="C1" s="1"/>
      <c r="D1" s="1"/>
      <c r="E1" s="1"/>
      <c r="F1" s="1"/>
      <c r="G1" s="1"/>
      <c r="H1" s="1"/>
      <c r="I1" s="1"/>
      <c r="J1" s="176"/>
      <c r="K1" s="123"/>
      <c r="L1" s="34"/>
      <c r="M1" s="34"/>
      <c r="N1"/>
      <c r="O1"/>
      <c r="P1"/>
      <c r="Q1"/>
      <c r="R1" s="178"/>
    </row>
    <row r="2" spans="1:30" s="3" customFormat="1" ht="21.75" x14ac:dyDescent="0.4">
      <c r="B2" s="32" t="s">
        <v>552</v>
      </c>
      <c r="C2" s="32"/>
      <c r="D2" s="32"/>
      <c r="E2" s="32"/>
      <c r="F2" s="32"/>
      <c r="G2" s="32"/>
      <c r="H2" s="32"/>
      <c r="I2" s="32"/>
      <c r="J2" s="177"/>
      <c r="K2" s="32"/>
      <c r="L2" s="32"/>
      <c r="M2" s="32"/>
      <c r="N2" s="32"/>
      <c r="O2" s="32"/>
      <c r="P2" s="32"/>
      <c r="Q2" s="32"/>
      <c r="R2" s="177"/>
      <c r="T2" s="3" t="s">
        <v>548</v>
      </c>
    </row>
    <row r="3" spans="1:30" x14ac:dyDescent="0.25">
      <c r="A3" s="84" t="s">
        <v>255</v>
      </c>
      <c r="B3" s="145" t="s">
        <v>399</v>
      </c>
      <c r="C3" s="532" t="s">
        <v>400</v>
      </c>
      <c r="D3" s="532" t="s">
        <v>401</v>
      </c>
      <c r="E3" s="532" t="s">
        <v>402</v>
      </c>
      <c r="F3" s="532" t="s">
        <v>403</v>
      </c>
      <c r="G3" s="533" t="s">
        <v>404</v>
      </c>
      <c r="H3" s="533" t="s">
        <v>405</v>
      </c>
      <c r="I3" s="533" t="s">
        <v>406</v>
      </c>
      <c r="J3" s="533" t="s">
        <v>407</v>
      </c>
      <c r="K3" s="534"/>
      <c r="L3" s="533" t="s">
        <v>54</v>
      </c>
      <c r="M3" s="533" t="s">
        <v>55</v>
      </c>
      <c r="N3" s="533" t="s">
        <v>58</v>
      </c>
      <c r="O3" s="533" t="s">
        <v>56</v>
      </c>
      <c r="P3" s="535" t="s">
        <v>25</v>
      </c>
      <c r="Q3" s="534"/>
      <c r="R3" s="536" t="s">
        <v>408</v>
      </c>
      <c r="S3" s="536" t="s">
        <v>409</v>
      </c>
      <c r="X3" s="533" t="s">
        <v>404</v>
      </c>
      <c r="Y3" s="533" t="s">
        <v>405</v>
      </c>
      <c r="Z3" s="533" t="s">
        <v>406</v>
      </c>
      <c r="AA3" s="533" t="s">
        <v>407</v>
      </c>
      <c r="AD3" s="536" t="s">
        <v>408</v>
      </c>
    </row>
    <row r="4" spans="1:30" x14ac:dyDescent="0.25">
      <c r="A4" s="84">
        <v>85</v>
      </c>
      <c r="B4" s="537" t="s">
        <v>410</v>
      </c>
      <c r="C4" s="538">
        <v>0.34300000000000003</v>
      </c>
      <c r="D4" s="538">
        <v>0.2782</v>
      </c>
      <c r="E4" s="538">
        <v>0.29110000000000003</v>
      </c>
      <c r="F4" s="538">
        <v>8.4699999999999998E-2</v>
      </c>
      <c r="G4" s="538">
        <v>0</v>
      </c>
      <c r="H4" s="538">
        <v>8.0000000000000004E-4</v>
      </c>
      <c r="I4" s="538">
        <v>8.9999999999999998E-4</v>
      </c>
      <c r="J4" s="538">
        <v>2.9999999999999997E-4</v>
      </c>
      <c r="K4" s="538"/>
      <c r="L4" s="211">
        <f t="shared" ref="L4:L35" si="0">D4+H4</f>
        <v>0.27900000000000003</v>
      </c>
      <c r="M4" s="211">
        <f t="shared" ref="M4:M35" si="1">E4 + I4</f>
        <v>0.29200000000000004</v>
      </c>
      <c r="N4" s="211">
        <f t="shared" ref="N4:N35" si="2">F4 + J4</f>
        <v>8.4999999999999992E-2</v>
      </c>
      <c r="O4" s="211">
        <f t="shared" ref="O4:O35" si="3">C4 + G4</f>
        <v>0.34300000000000003</v>
      </c>
      <c r="P4" s="241">
        <f t="shared" ref="P4:P35" si="4">SUM(L4:O4)</f>
        <v>0.99900000000000011</v>
      </c>
      <c r="Q4" s="538"/>
      <c r="R4" s="539">
        <f t="shared" ref="R4:R35" si="5">SUM(C4:F4)</f>
        <v>0.997</v>
      </c>
      <c r="S4" s="539">
        <f t="shared" ref="S4:S35" si="6">SUM(G4:J4)</f>
        <v>2E-3</v>
      </c>
      <c r="W4" s="532" t="s">
        <v>400</v>
      </c>
      <c r="X4" s="257">
        <f>CORREL($C$4:$C$126,G$4:G$126)</f>
        <v>-0.21996626965285856</v>
      </c>
      <c r="Y4" s="111">
        <f t="shared" ref="Y4:AA4" si="7">CORREL($C$4:$C$126,H$4:H$126)</f>
        <v>-0.49475368369989692</v>
      </c>
      <c r="Z4" s="111">
        <f t="shared" si="7"/>
        <v>-0.54269801024467912</v>
      </c>
      <c r="AA4" s="111">
        <f t="shared" si="7"/>
        <v>-0.59578690804173851</v>
      </c>
      <c r="AB4" s="145"/>
      <c r="AC4" s="532" t="s">
        <v>56</v>
      </c>
      <c r="AD4" s="111">
        <f>CORREL(O4:O126,R4:R126)</f>
        <v>0.18746608892615868</v>
      </c>
    </row>
    <row r="5" spans="1:30" x14ac:dyDescent="0.25">
      <c r="A5" s="84">
        <v>121</v>
      </c>
      <c r="B5" s="537" t="s">
        <v>411</v>
      </c>
      <c r="C5" s="538">
        <v>0.27150000000000002</v>
      </c>
      <c r="D5" s="538">
        <v>0.31080000000000002</v>
      </c>
      <c r="E5" s="538">
        <v>0.30149999999999999</v>
      </c>
      <c r="F5" s="538">
        <v>0.1132</v>
      </c>
      <c r="G5" s="538">
        <v>0</v>
      </c>
      <c r="H5" s="538">
        <v>1E-3</v>
      </c>
      <c r="I5" s="538">
        <v>1E-3</v>
      </c>
      <c r="J5" s="538">
        <v>2.9999999999999997E-4</v>
      </c>
      <c r="K5" s="538"/>
      <c r="L5" s="211">
        <f t="shared" si="0"/>
        <v>0.31180000000000002</v>
      </c>
      <c r="M5" s="211">
        <f t="shared" si="1"/>
        <v>0.30249999999999999</v>
      </c>
      <c r="N5" s="211">
        <f t="shared" si="2"/>
        <v>0.11349999999999999</v>
      </c>
      <c r="O5" s="211">
        <f t="shared" si="3"/>
        <v>0.27150000000000002</v>
      </c>
      <c r="P5" s="241">
        <f t="shared" si="4"/>
        <v>0.99930000000000008</v>
      </c>
      <c r="Q5" s="538"/>
      <c r="R5" s="539">
        <f t="shared" si="5"/>
        <v>0.997</v>
      </c>
      <c r="S5" s="539">
        <f t="shared" si="6"/>
        <v>2.3E-3</v>
      </c>
      <c r="W5" s="532" t="s">
        <v>401</v>
      </c>
      <c r="X5" s="111">
        <f>CORREL($D$4:$D$126,G$4:G$126)</f>
        <v>0.45375067275478859</v>
      </c>
      <c r="Y5" s="257">
        <f t="shared" ref="Y5:AA5" si="8">CORREL($D$4:$D$126,H$4:H$126)</f>
        <v>0.70129705184447466</v>
      </c>
      <c r="Z5" s="111">
        <f t="shared" si="8"/>
        <v>0.33526220013849861</v>
      </c>
      <c r="AA5" s="111">
        <f t="shared" si="8"/>
        <v>0.51219729818894066</v>
      </c>
      <c r="AB5" s="145"/>
      <c r="AC5" s="532" t="s">
        <v>54</v>
      </c>
      <c r="AD5" s="111">
        <f>CORREL(L4:L126,R4:R126)</f>
        <v>-0.73541175384999402</v>
      </c>
    </row>
    <row r="6" spans="1:30" x14ac:dyDescent="0.25">
      <c r="A6" s="84">
        <v>43</v>
      </c>
      <c r="B6" s="537" t="s">
        <v>412</v>
      </c>
      <c r="C6" s="538">
        <v>0.439</v>
      </c>
      <c r="D6" s="538">
        <v>0.25900000000000001</v>
      </c>
      <c r="E6" s="538">
        <v>0.23899999999999999</v>
      </c>
      <c r="F6" s="538">
        <v>0.06</v>
      </c>
      <c r="G6" s="538">
        <v>0</v>
      </c>
      <c r="H6" s="538">
        <v>1E-3</v>
      </c>
      <c r="I6" s="538">
        <v>1E-4</v>
      </c>
      <c r="J6" s="538">
        <v>2.0000000000000001E-4</v>
      </c>
      <c r="K6" s="538"/>
      <c r="L6" s="211">
        <f t="shared" si="0"/>
        <v>0.26</v>
      </c>
      <c r="M6" s="211">
        <f t="shared" si="1"/>
        <v>0.23909999999999998</v>
      </c>
      <c r="N6" s="211">
        <f t="shared" si="2"/>
        <v>6.0199999999999997E-2</v>
      </c>
      <c r="O6" s="211">
        <f t="shared" si="3"/>
        <v>0.439</v>
      </c>
      <c r="P6" s="241">
        <f t="shared" si="4"/>
        <v>0.99829999999999997</v>
      </c>
      <c r="Q6" s="538"/>
      <c r="R6" s="539">
        <f t="shared" si="5"/>
        <v>0.99699999999999989</v>
      </c>
      <c r="S6" s="539">
        <f t="shared" si="6"/>
        <v>1.3000000000000002E-3</v>
      </c>
      <c r="W6" s="532" t="s">
        <v>402</v>
      </c>
      <c r="X6" s="111">
        <f>CORREL($E$4:$E$126,G$4:G$126)</f>
        <v>-0.69399757958929509</v>
      </c>
      <c r="Y6" s="111">
        <f t="shared" ref="Y6:AA6" si="9">CORREL($E$4:$E$126,H$4:H$126)</f>
        <v>-0.6264720668828786</v>
      </c>
      <c r="Z6" s="257">
        <f t="shared" si="9"/>
        <v>-0.2155714804839772</v>
      </c>
      <c r="AA6" s="111">
        <f t="shared" si="9"/>
        <v>-0.32193956086863468</v>
      </c>
      <c r="AB6" s="145"/>
      <c r="AC6" s="532" t="s">
        <v>55</v>
      </c>
      <c r="AD6" s="111">
        <f>CORREL(M4:M126,R4:R126)</f>
        <v>0.54346261501227133</v>
      </c>
    </row>
    <row r="7" spans="1:30" x14ac:dyDescent="0.25">
      <c r="A7" s="84">
        <v>64</v>
      </c>
      <c r="B7" s="537" t="s">
        <v>413</v>
      </c>
      <c r="C7" s="538">
        <v>0.38150000000000001</v>
      </c>
      <c r="D7" s="538">
        <v>0.29270000000000002</v>
      </c>
      <c r="E7" s="538">
        <v>0.23860000000000001</v>
      </c>
      <c r="F7" s="538">
        <v>8.4099999999999994E-2</v>
      </c>
      <c r="G7" s="538">
        <v>0</v>
      </c>
      <c r="H7" s="538">
        <v>4.0000000000000002E-4</v>
      </c>
      <c r="I7" s="538">
        <v>4.0000000000000002E-4</v>
      </c>
      <c r="J7" s="538">
        <v>1E-4</v>
      </c>
      <c r="K7" s="538"/>
      <c r="L7" s="211">
        <f t="shared" si="0"/>
        <v>0.29310000000000003</v>
      </c>
      <c r="M7" s="211">
        <f t="shared" si="1"/>
        <v>0.23900000000000002</v>
      </c>
      <c r="N7" s="211">
        <f t="shared" si="2"/>
        <v>8.4199999999999997E-2</v>
      </c>
      <c r="O7" s="211">
        <f t="shared" si="3"/>
        <v>0.38150000000000001</v>
      </c>
      <c r="P7" s="241">
        <f t="shared" si="4"/>
        <v>0.99780000000000002</v>
      </c>
      <c r="Q7" s="538"/>
      <c r="R7" s="539">
        <f t="shared" si="5"/>
        <v>0.99690000000000001</v>
      </c>
      <c r="S7" s="539">
        <f t="shared" si="6"/>
        <v>9.0000000000000008E-4</v>
      </c>
      <c r="W7" s="532" t="s">
        <v>403</v>
      </c>
      <c r="X7" s="111">
        <f>CORREL($F$4:$F$126,G$4:G$126)</f>
        <v>-0.38773275628091614</v>
      </c>
      <c r="Y7" s="111">
        <f t="shared" ref="Y7:AA7" si="10">CORREL($F$4:$F$126,H$4:H$126)</f>
        <v>-0.14349080148518573</v>
      </c>
      <c r="Z7" s="111">
        <f t="shared" si="10"/>
        <v>0.13276542099338984</v>
      </c>
      <c r="AA7" s="257">
        <f t="shared" si="10"/>
        <v>0.16010197070533577</v>
      </c>
      <c r="AB7" s="145"/>
      <c r="AC7" s="532" t="s">
        <v>58</v>
      </c>
      <c r="AD7" s="111">
        <f>CORREL(N4:N126,R4:R126)</f>
        <v>6.7040236123162816E-2</v>
      </c>
    </row>
    <row r="8" spans="1:30" x14ac:dyDescent="0.25">
      <c r="A8" s="84">
        <v>37</v>
      </c>
      <c r="B8" s="537" t="s">
        <v>414</v>
      </c>
      <c r="C8" s="538">
        <v>0.45900000000000002</v>
      </c>
      <c r="D8" s="538">
        <v>0.22900000000000001</v>
      </c>
      <c r="E8" s="538">
        <v>0.249</v>
      </c>
      <c r="F8" s="538">
        <v>5.9700000000000003E-2</v>
      </c>
      <c r="G8" s="538">
        <v>0</v>
      </c>
      <c r="H8" s="538">
        <v>1E-3</v>
      </c>
      <c r="I8" s="538">
        <v>1E-3</v>
      </c>
      <c r="J8" s="538">
        <v>2.9999999999999997E-4</v>
      </c>
      <c r="K8" s="538"/>
      <c r="L8" s="211">
        <f t="shared" si="0"/>
        <v>0.23</v>
      </c>
      <c r="M8" s="211">
        <f t="shared" si="1"/>
        <v>0.25</v>
      </c>
      <c r="N8" s="211">
        <f t="shared" si="2"/>
        <v>6.0000000000000005E-2</v>
      </c>
      <c r="O8" s="211">
        <f t="shared" si="3"/>
        <v>0.45900000000000002</v>
      </c>
      <c r="P8" s="241">
        <f t="shared" si="4"/>
        <v>0.99900000000000011</v>
      </c>
      <c r="Q8" s="538"/>
      <c r="R8" s="539">
        <f t="shared" si="5"/>
        <v>0.99670000000000003</v>
      </c>
      <c r="S8" s="539">
        <f t="shared" si="6"/>
        <v>2.3E-3</v>
      </c>
      <c r="W8" s="145"/>
      <c r="X8" s="145"/>
      <c r="Y8" s="145"/>
      <c r="Z8" s="145"/>
      <c r="AA8" s="145"/>
      <c r="AB8" s="145"/>
      <c r="AC8" s="145"/>
      <c r="AD8" s="145"/>
    </row>
    <row r="9" spans="1:30" x14ac:dyDescent="0.25">
      <c r="A9" s="84">
        <v>119</v>
      </c>
      <c r="B9" s="537" t="s">
        <v>415</v>
      </c>
      <c r="C9" s="538">
        <v>0.27900000000000003</v>
      </c>
      <c r="D9" s="538">
        <v>0.3387</v>
      </c>
      <c r="E9" s="538">
        <v>0.26919999999999999</v>
      </c>
      <c r="F9" s="538">
        <v>0.10979999999999999</v>
      </c>
      <c r="G9" s="538">
        <v>0</v>
      </c>
      <c r="H9" s="538">
        <v>1.2999999999999999E-3</v>
      </c>
      <c r="I9" s="538">
        <v>8.0000000000000004E-4</v>
      </c>
      <c r="J9" s="538">
        <v>2.0000000000000001E-4</v>
      </c>
      <c r="K9" s="538"/>
      <c r="L9" s="211">
        <f t="shared" si="0"/>
        <v>0.34</v>
      </c>
      <c r="M9" s="211">
        <f t="shared" si="1"/>
        <v>0.27</v>
      </c>
      <c r="N9" s="211">
        <f t="shared" si="2"/>
        <v>0.11</v>
      </c>
      <c r="O9" s="211">
        <f t="shared" si="3"/>
        <v>0.27900000000000003</v>
      </c>
      <c r="P9" s="241">
        <f t="shared" si="4"/>
        <v>0.99900000000000011</v>
      </c>
      <c r="Q9" s="538"/>
      <c r="R9" s="539">
        <f t="shared" si="5"/>
        <v>0.99670000000000003</v>
      </c>
      <c r="S9" s="539">
        <f t="shared" si="6"/>
        <v>2.3E-3</v>
      </c>
      <c r="W9" s="145"/>
      <c r="X9" s="540" t="s">
        <v>416</v>
      </c>
      <c r="Y9" s="145"/>
      <c r="Z9" s="145"/>
      <c r="AA9" s="145"/>
      <c r="AB9" s="145"/>
      <c r="AC9" s="145"/>
      <c r="AD9" s="145"/>
    </row>
    <row r="10" spans="1:30" x14ac:dyDescent="0.25">
      <c r="A10" s="84">
        <v>84</v>
      </c>
      <c r="B10" s="537" t="s">
        <v>417</v>
      </c>
      <c r="C10" s="538">
        <v>0.34320000000000001</v>
      </c>
      <c r="D10" s="538">
        <v>0.30349999999999999</v>
      </c>
      <c r="E10" s="538">
        <v>0.2737</v>
      </c>
      <c r="F10" s="538">
        <v>7.46E-2</v>
      </c>
      <c r="G10" s="538">
        <v>0</v>
      </c>
      <c r="H10" s="538">
        <v>1.5E-3</v>
      </c>
      <c r="I10" s="538">
        <v>1.4E-3</v>
      </c>
      <c r="J10" s="538">
        <v>4.0000000000000002E-4</v>
      </c>
      <c r="K10" s="538"/>
      <c r="L10" s="211">
        <f t="shared" si="0"/>
        <v>0.30499999999999999</v>
      </c>
      <c r="M10" s="211">
        <f t="shared" si="1"/>
        <v>0.27510000000000001</v>
      </c>
      <c r="N10" s="211">
        <f t="shared" si="2"/>
        <v>7.4999999999999997E-2</v>
      </c>
      <c r="O10" s="211">
        <f t="shared" si="3"/>
        <v>0.34320000000000001</v>
      </c>
      <c r="P10" s="241">
        <f t="shared" si="4"/>
        <v>0.99829999999999997</v>
      </c>
      <c r="Q10" s="538"/>
      <c r="R10" s="539">
        <f t="shared" si="5"/>
        <v>0.99500000000000011</v>
      </c>
      <c r="S10" s="539">
        <f t="shared" si="6"/>
        <v>3.3E-3</v>
      </c>
      <c r="W10" s="532" t="s">
        <v>418</v>
      </c>
      <c r="X10" s="111">
        <f>CORREL(C4:F126,G4:J126)</f>
        <v>0.5350663905615719</v>
      </c>
      <c r="Y10" s="145"/>
      <c r="Z10" s="145"/>
      <c r="AA10" s="145"/>
      <c r="AB10" s="145"/>
      <c r="AC10" s="145"/>
      <c r="AD10" s="145"/>
    </row>
    <row r="11" spans="1:30" x14ac:dyDescent="0.25">
      <c r="A11" s="84">
        <v>107</v>
      </c>
      <c r="B11" s="537" t="s">
        <v>419</v>
      </c>
      <c r="C11" s="538">
        <v>0.29899999999999999</v>
      </c>
      <c r="D11" s="538">
        <v>0.39800000000000002</v>
      </c>
      <c r="E11" s="538">
        <v>0.19900000000000001</v>
      </c>
      <c r="F11" s="538">
        <v>9.9000000000000005E-2</v>
      </c>
      <c r="G11" s="538">
        <v>0</v>
      </c>
      <c r="H11" s="538">
        <v>2E-3</v>
      </c>
      <c r="I11" s="538">
        <v>1E-3</v>
      </c>
      <c r="J11" s="538">
        <v>5.0000000000000001E-4</v>
      </c>
      <c r="K11" s="538"/>
      <c r="L11" s="211">
        <f t="shared" si="0"/>
        <v>0.4</v>
      </c>
      <c r="M11" s="211">
        <f t="shared" si="1"/>
        <v>0.2</v>
      </c>
      <c r="N11" s="211">
        <f t="shared" si="2"/>
        <v>9.9500000000000005E-2</v>
      </c>
      <c r="O11" s="211">
        <f t="shared" si="3"/>
        <v>0.29899999999999999</v>
      </c>
      <c r="P11" s="241">
        <f t="shared" si="4"/>
        <v>0.99850000000000017</v>
      </c>
      <c r="Q11" s="538"/>
      <c r="R11" s="539">
        <f t="shared" si="5"/>
        <v>0.99500000000000011</v>
      </c>
      <c r="S11" s="539">
        <f t="shared" si="6"/>
        <v>3.5000000000000001E-3</v>
      </c>
    </row>
    <row r="12" spans="1:30" x14ac:dyDescent="0.25">
      <c r="A12" s="84">
        <v>70</v>
      </c>
      <c r="B12" s="537" t="s">
        <v>420</v>
      </c>
      <c r="C12" s="538">
        <v>0.36820000000000003</v>
      </c>
      <c r="D12" s="538">
        <v>0.25869999999999999</v>
      </c>
      <c r="E12" s="538">
        <v>0.28849999999999998</v>
      </c>
      <c r="F12" s="538">
        <v>7.9600000000000004E-2</v>
      </c>
      <c r="G12" s="538">
        <v>0</v>
      </c>
      <c r="H12" s="538">
        <v>1.2999999999999999E-3</v>
      </c>
      <c r="I12" s="538">
        <v>1.5E-3</v>
      </c>
      <c r="J12" s="538">
        <v>4.0000000000000002E-4</v>
      </c>
      <c r="K12" s="538"/>
      <c r="L12" s="211">
        <f t="shared" si="0"/>
        <v>0.26</v>
      </c>
      <c r="M12" s="211">
        <f t="shared" si="1"/>
        <v>0.28999999999999998</v>
      </c>
      <c r="N12" s="211">
        <f t="shared" si="2"/>
        <v>0.08</v>
      </c>
      <c r="O12" s="211">
        <f t="shared" si="3"/>
        <v>0.36820000000000003</v>
      </c>
      <c r="P12" s="241">
        <f t="shared" si="4"/>
        <v>0.99819999999999998</v>
      </c>
      <c r="Q12" s="538"/>
      <c r="R12" s="539">
        <f t="shared" si="5"/>
        <v>0.995</v>
      </c>
      <c r="S12" s="539">
        <f t="shared" si="6"/>
        <v>3.2000000000000002E-3</v>
      </c>
    </row>
    <row r="13" spans="1:30" x14ac:dyDescent="0.25">
      <c r="A13" s="84">
        <v>52</v>
      </c>
      <c r="B13" s="537" t="s">
        <v>421</v>
      </c>
      <c r="C13" s="538">
        <v>0.40799999999999997</v>
      </c>
      <c r="D13" s="538">
        <v>0.16900000000000001</v>
      </c>
      <c r="E13" s="538">
        <v>0.36799999999999999</v>
      </c>
      <c r="F13" s="538">
        <v>4.9700000000000001E-2</v>
      </c>
      <c r="G13" s="538">
        <v>0</v>
      </c>
      <c r="H13" s="538">
        <v>1E-3</v>
      </c>
      <c r="I13" s="538">
        <v>2E-3</v>
      </c>
      <c r="J13" s="538">
        <v>2.9999999999999997E-4</v>
      </c>
      <c r="K13" s="538"/>
      <c r="L13" s="211">
        <f t="shared" si="0"/>
        <v>0.17</v>
      </c>
      <c r="M13" s="211">
        <f t="shared" si="1"/>
        <v>0.37</v>
      </c>
      <c r="N13" s="211">
        <f t="shared" si="2"/>
        <v>0.05</v>
      </c>
      <c r="O13" s="211">
        <f t="shared" si="3"/>
        <v>0.40799999999999997</v>
      </c>
      <c r="P13" s="241">
        <f t="shared" si="4"/>
        <v>0.998</v>
      </c>
      <c r="Q13" s="538"/>
      <c r="R13" s="539">
        <f t="shared" si="5"/>
        <v>0.99469999999999992</v>
      </c>
      <c r="S13" s="539">
        <f t="shared" si="6"/>
        <v>3.3E-3</v>
      </c>
    </row>
    <row r="14" spans="1:30" x14ac:dyDescent="0.25">
      <c r="A14" s="84">
        <v>68</v>
      </c>
      <c r="B14" s="537" t="s">
        <v>422</v>
      </c>
      <c r="C14" s="538">
        <v>0.37519999999999998</v>
      </c>
      <c r="D14" s="538">
        <v>0.1973</v>
      </c>
      <c r="E14" s="538">
        <v>0.35360000000000003</v>
      </c>
      <c r="F14" s="538">
        <v>6.8500000000000005E-2</v>
      </c>
      <c r="G14" s="538">
        <v>0</v>
      </c>
      <c r="H14" s="538">
        <v>1E-3</v>
      </c>
      <c r="I14" s="538">
        <v>2E-3</v>
      </c>
      <c r="J14" s="538">
        <v>5.0000000000000001E-4</v>
      </c>
      <c r="K14" s="538"/>
      <c r="L14" s="211">
        <f t="shared" si="0"/>
        <v>0.1983</v>
      </c>
      <c r="M14" s="211">
        <f t="shared" si="1"/>
        <v>0.35560000000000003</v>
      </c>
      <c r="N14" s="211">
        <f t="shared" si="2"/>
        <v>6.9000000000000006E-2</v>
      </c>
      <c r="O14" s="211">
        <f t="shared" si="3"/>
        <v>0.37519999999999998</v>
      </c>
      <c r="P14" s="241">
        <f t="shared" si="4"/>
        <v>0.99809999999999999</v>
      </c>
      <c r="Q14" s="538"/>
      <c r="R14" s="539">
        <f t="shared" si="5"/>
        <v>0.99460000000000004</v>
      </c>
      <c r="S14" s="539">
        <f t="shared" si="6"/>
        <v>3.5000000000000001E-3</v>
      </c>
    </row>
    <row r="15" spans="1:30" x14ac:dyDescent="0.25">
      <c r="A15" s="84">
        <v>50</v>
      </c>
      <c r="B15" s="537" t="s">
        <v>423</v>
      </c>
      <c r="C15" s="538">
        <v>0.41699999999999998</v>
      </c>
      <c r="D15" s="538">
        <v>0.219</v>
      </c>
      <c r="E15" s="538">
        <v>0.308</v>
      </c>
      <c r="F15" s="538">
        <v>4.9799999999999997E-2</v>
      </c>
      <c r="G15" s="538">
        <v>0</v>
      </c>
      <c r="H15" s="538">
        <v>1E-3</v>
      </c>
      <c r="I15" s="538">
        <v>2E-3</v>
      </c>
      <c r="J15" s="538">
        <v>2.0000000000000001E-4</v>
      </c>
      <c r="K15" s="538"/>
      <c r="L15" s="211">
        <f t="shared" si="0"/>
        <v>0.22</v>
      </c>
      <c r="M15" s="211">
        <f t="shared" si="1"/>
        <v>0.31</v>
      </c>
      <c r="N15" s="211">
        <f t="shared" si="2"/>
        <v>4.9999999999999996E-2</v>
      </c>
      <c r="O15" s="211">
        <f t="shared" si="3"/>
        <v>0.41699999999999998</v>
      </c>
      <c r="P15" s="241">
        <f t="shared" si="4"/>
        <v>0.99700000000000011</v>
      </c>
      <c r="Q15" s="538"/>
      <c r="R15" s="539">
        <f t="shared" si="5"/>
        <v>0.99379999999999991</v>
      </c>
      <c r="S15" s="539">
        <f t="shared" si="6"/>
        <v>3.2000000000000002E-3</v>
      </c>
    </row>
    <row r="16" spans="1:30" x14ac:dyDescent="0.25">
      <c r="A16" s="84">
        <v>51</v>
      </c>
      <c r="B16" s="537" t="s">
        <v>424</v>
      </c>
      <c r="C16" s="538">
        <v>0.41499999999999998</v>
      </c>
      <c r="D16" s="538">
        <v>0.26129999999999998</v>
      </c>
      <c r="E16" s="538">
        <v>0.25340000000000001</v>
      </c>
      <c r="F16" s="538">
        <v>6.3500000000000001E-2</v>
      </c>
      <c r="G16" s="538">
        <v>0</v>
      </c>
      <c r="H16" s="538">
        <v>1.6999999999999999E-3</v>
      </c>
      <c r="I16" s="538">
        <v>1.4E-3</v>
      </c>
      <c r="J16" s="538">
        <v>5.0000000000000001E-4</v>
      </c>
      <c r="K16" s="538"/>
      <c r="L16" s="211">
        <f t="shared" si="0"/>
        <v>0.26299999999999996</v>
      </c>
      <c r="M16" s="211">
        <f t="shared" si="1"/>
        <v>0.25480000000000003</v>
      </c>
      <c r="N16" s="211">
        <f t="shared" si="2"/>
        <v>6.4000000000000001E-2</v>
      </c>
      <c r="O16" s="211">
        <f t="shared" si="3"/>
        <v>0.41499999999999998</v>
      </c>
      <c r="P16" s="241">
        <f t="shared" si="4"/>
        <v>0.99680000000000013</v>
      </c>
      <c r="Q16" s="538"/>
      <c r="R16" s="539">
        <f t="shared" si="5"/>
        <v>0.99319999999999997</v>
      </c>
      <c r="S16" s="539">
        <f t="shared" si="6"/>
        <v>3.5999999999999999E-3</v>
      </c>
    </row>
    <row r="17" spans="1:19" x14ac:dyDescent="0.25">
      <c r="A17" s="84">
        <v>78</v>
      </c>
      <c r="B17" s="537" t="s">
        <v>425</v>
      </c>
      <c r="C17" s="538">
        <v>0.35199999999999998</v>
      </c>
      <c r="D17" s="538">
        <v>0.28299999999999997</v>
      </c>
      <c r="E17" s="538">
        <v>0.27100000000000002</v>
      </c>
      <c r="F17" s="538">
        <v>8.5999999999999993E-2</v>
      </c>
      <c r="G17" s="538">
        <v>0</v>
      </c>
      <c r="H17" s="538">
        <v>2E-3</v>
      </c>
      <c r="I17" s="538">
        <v>2E-3</v>
      </c>
      <c r="J17" s="538">
        <v>1E-3</v>
      </c>
      <c r="K17" s="538"/>
      <c r="L17" s="211">
        <f t="shared" si="0"/>
        <v>0.28499999999999998</v>
      </c>
      <c r="M17" s="211">
        <f t="shared" si="1"/>
        <v>0.27300000000000002</v>
      </c>
      <c r="N17" s="211">
        <f t="shared" si="2"/>
        <v>8.6999999999999994E-2</v>
      </c>
      <c r="O17" s="211">
        <f t="shared" si="3"/>
        <v>0.35199999999999998</v>
      </c>
      <c r="P17" s="241">
        <f t="shared" si="4"/>
        <v>0.997</v>
      </c>
      <c r="Q17" s="538"/>
      <c r="R17" s="539">
        <f t="shared" si="5"/>
        <v>0.99199999999999999</v>
      </c>
      <c r="S17" s="539">
        <f t="shared" si="6"/>
        <v>5.0000000000000001E-3</v>
      </c>
    </row>
    <row r="18" spans="1:19" x14ac:dyDescent="0.25">
      <c r="A18" s="84">
        <v>76</v>
      </c>
      <c r="B18" s="537" t="s">
        <v>426</v>
      </c>
      <c r="C18" s="538">
        <v>0.35699999999999998</v>
      </c>
      <c r="D18" s="538">
        <v>0.23799999999999999</v>
      </c>
      <c r="E18" s="538">
        <v>0.32700000000000001</v>
      </c>
      <c r="F18" s="538">
        <v>6.9500000000000006E-2</v>
      </c>
      <c r="G18" s="538">
        <v>0</v>
      </c>
      <c r="H18" s="538">
        <v>2E-3</v>
      </c>
      <c r="I18" s="538">
        <v>3.0000000000000001E-3</v>
      </c>
      <c r="J18" s="538">
        <v>5.0000000000000001E-4</v>
      </c>
      <c r="K18" s="538"/>
      <c r="L18" s="211">
        <f t="shared" si="0"/>
        <v>0.24</v>
      </c>
      <c r="M18" s="211">
        <f t="shared" si="1"/>
        <v>0.33</v>
      </c>
      <c r="N18" s="211">
        <f t="shared" si="2"/>
        <v>7.0000000000000007E-2</v>
      </c>
      <c r="O18" s="211">
        <f t="shared" si="3"/>
        <v>0.35699999999999998</v>
      </c>
      <c r="P18" s="241">
        <f t="shared" si="4"/>
        <v>0.99700000000000011</v>
      </c>
      <c r="Q18" s="538"/>
      <c r="R18" s="539">
        <f t="shared" si="5"/>
        <v>0.99149999999999994</v>
      </c>
      <c r="S18" s="539">
        <f t="shared" si="6"/>
        <v>5.4999999999999997E-3</v>
      </c>
    </row>
    <row r="19" spans="1:19" x14ac:dyDescent="0.25">
      <c r="A19" s="84">
        <v>61</v>
      </c>
      <c r="B19" s="537" t="s">
        <v>427</v>
      </c>
      <c r="C19" s="538">
        <v>0.38450000000000001</v>
      </c>
      <c r="D19" s="538">
        <v>0.22889999999999999</v>
      </c>
      <c r="E19" s="538">
        <v>0.29930000000000001</v>
      </c>
      <c r="F19" s="538">
        <v>7.8299999999999995E-2</v>
      </c>
      <c r="G19" s="538">
        <v>0</v>
      </c>
      <c r="H19" s="538">
        <v>2.0999999999999999E-3</v>
      </c>
      <c r="I19" s="538">
        <v>2.7000000000000001E-3</v>
      </c>
      <c r="J19" s="538">
        <v>6.9999999999999999E-4</v>
      </c>
      <c r="K19" s="538"/>
      <c r="L19" s="211">
        <f t="shared" si="0"/>
        <v>0.23099999999999998</v>
      </c>
      <c r="M19" s="211">
        <f t="shared" si="1"/>
        <v>0.30199999999999999</v>
      </c>
      <c r="N19" s="211">
        <f t="shared" si="2"/>
        <v>7.9000000000000001E-2</v>
      </c>
      <c r="O19" s="211">
        <f t="shared" si="3"/>
        <v>0.38450000000000001</v>
      </c>
      <c r="P19" s="241">
        <f t="shared" si="4"/>
        <v>0.99649999999999994</v>
      </c>
      <c r="Q19" s="538"/>
      <c r="R19" s="539">
        <f t="shared" si="5"/>
        <v>0.99099999999999999</v>
      </c>
      <c r="S19" s="539">
        <f t="shared" si="6"/>
        <v>5.5000000000000005E-3</v>
      </c>
    </row>
    <row r="20" spans="1:19" x14ac:dyDescent="0.25">
      <c r="A20" s="84">
        <v>40</v>
      </c>
      <c r="B20" s="537" t="s">
        <v>428</v>
      </c>
      <c r="C20" s="538">
        <v>0.44700000000000001</v>
      </c>
      <c r="D20" s="538">
        <v>0.23899999999999999</v>
      </c>
      <c r="E20" s="538">
        <v>0.245</v>
      </c>
      <c r="F20" s="538">
        <v>5.6000000000000001E-2</v>
      </c>
      <c r="G20" s="538">
        <v>0</v>
      </c>
      <c r="H20" s="538">
        <v>3.0000000000000001E-3</v>
      </c>
      <c r="I20" s="538">
        <v>3.0000000000000001E-3</v>
      </c>
      <c r="J20" s="538">
        <v>1E-3</v>
      </c>
      <c r="K20" s="538"/>
      <c r="L20" s="211">
        <f t="shared" si="0"/>
        <v>0.24199999999999999</v>
      </c>
      <c r="M20" s="211">
        <f t="shared" si="1"/>
        <v>0.248</v>
      </c>
      <c r="N20" s="211">
        <f t="shared" si="2"/>
        <v>5.7000000000000002E-2</v>
      </c>
      <c r="O20" s="211">
        <f t="shared" si="3"/>
        <v>0.44700000000000001</v>
      </c>
      <c r="P20" s="241">
        <f t="shared" si="4"/>
        <v>0.99399999999999999</v>
      </c>
      <c r="Q20" s="538"/>
      <c r="R20" s="539">
        <f t="shared" si="5"/>
        <v>0.98699999999999999</v>
      </c>
      <c r="S20" s="539">
        <f t="shared" si="6"/>
        <v>7.0000000000000001E-3</v>
      </c>
    </row>
    <row r="21" spans="1:19" x14ac:dyDescent="0.25">
      <c r="A21" s="84">
        <v>6</v>
      </c>
      <c r="B21" s="537" t="s">
        <v>429</v>
      </c>
      <c r="C21" s="538">
        <v>0.59499999999999997</v>
      </c>
      <c r="D21" s="538">
        <v>0.21299999999999999</v>
      </c>
      <c r="E21" s="538">
        <v>0.152</v>
      </c>
      <c r="F21" s="538">
        <v>2.4E-2</v>
      </c>
      <c r="G21" s="538">
        <v>0.01</v>
      </c>
      <c r="H21" s="538">
        <v>3.0000000000000001E-3</v>
      </c>
      <c r="I21" s="538">
        <v>2E-3</v>
      </c>
      <c r="J21" s="538">
        <v>1E-3</v>
      </c>
      <c r="K21" s="538"/>
      <c r="L21" s="211">
        <f t="shared" si="0"/>
        <v>0.216</v>
      </c>
      <c r="M21" s="211">
        <f t="shared" si="1"/>
        <v>0.154</v>
      </c>
      <c r="N21" s="211">
        <f t="shared" si="2"/>
        <v>2.5000000000000001E-2</v>
      </c>
      <c r="O21" s="211">
        <f t="shared" si="3"/>
        <v>0.60499999999999998</v>
      </c>
      <c r="P21" s="241">
        <f t="shared" si="4"/>
        <v>1</v>
      </c>
      <c r="Q21" s="538"/>
      <c r="R21" s="539">
        <f t="shared" si="5"/>
        <v>0.98399999999999999</v>
      </c>
      <c r="S21" s="539">
        <f t="shared" si="6"/>
        <v>1.6E-2</v>
      </c>
    </row>
    <row r="22" spans="1:19" x14ac:dyDescent="0.25">
      <c r="A22" s="84">
        <v>112</v>
      </c>
      <c r="B22" s="537" t="s">
        <v>430</v>
      </c>
      <c r="C22" s="538">
        <v>0.29210000000000003</v>
      </c>
      <c r="D22" s="538">
        <v>0.26300000000000001</v>
      </c>
      <c r="E22" s="538">
        <v>0.33119999999999999</v>
      </c>
      <c r="F22" s="538">
        <v>9.5899999999999999E-2</v>
      </c>
      <c r="G22" s="538">
        <v>0</v>
      </c>
      <c r="H22" s="538">
        <v>4.7999999999999996E-3</v>
      </c>
      <c r="I22" s="538">
        <v>6.0000000000000001E-3</v>
      </c>
      <c r="J22" s="538">
        <v>1.6999999999999999E-3</v>
      </c>
      <c r="K22" s="538"/>
      <c r="L22" s="211">
        <f t="shared" si="0"/>
        <v>0.26780000000000004</v>
      </c>
      <c r="M22" s="211">
        <f t="shared" si="1"/>
        <v>0.3372</v>
      </c>
      <c r="N22" s="211">
        <f t="shared" si="2"/>
        <v>9.7599999999999992E-2</v>
      </c>
      <c r="O22" s="211">
        <f t="shared" si="3"/>
        <v>0.29210000000000003</v>
      </c>
      <c r="P22" s="241">
        <f t="shared" si="4"/>
        <v>0.99470000000000003</v>
      </c>
      <c r="Q22" s="538"/>
      <c r="R22" s="539">
        <f t="shared" si="5"/>
        <v>0.98220000000000007</v>
      </c>
      <c r="S22" s="539">
        <f t="shared" si="6"/>
        <v>1.2500000000000001E-2</v>
      </c>
    </row>
    <row r="23" spans="1:19" x14ac:dyDescent="0.25">
      <c r="A23" s="84">
        <v>21</v>
      </c>
      <c r="B23" s="537" t="s">
        <v>431</v>
      </c>
      <c r="C23" s="538">
        <v>0.4929</v>
      </c>
      <c r="D23" s="538">
        <v>0.24110000000000001</v>
      </c>
      <c r="E23" s="538">
        <v>0.2029</v>
      </c>
      <c r="F23" s="538">
        <v>4.41E-2</v>
      </c>
      <c r="G23" s="538">
        <v>0.01</v>
      </c>
      <c r="H23" s="538">
        <v>4.8999999999999998E-3</v>
      </c>
      <c r="I23" s="538">
        <v>4.1000000000000003E-3</v>
      </c>
      <c r="J23" s="538">
        <v>8.9999999999999998E-4</v>
      </c>
      <c r="K23" s="538"/>
      <c r="L23" s="211">
        <f t="shared" si="0"/>
        <v>0.246</v>
      </c>
      <c r="M23" s="211">
        <f t="shared" si="1"/>
        <v>0.20699999999999999</v>
      </c>
      <c r="N23" s="211">
        <f t="shared" si="2"/>
        <v>4.4999999999999998E-2</v>
      </c>
      <c r="O23" s="211">
        <f t="shared" si="3"/>
        <v>0.50290000000000001</v>
      </c>
      <c r="P23" s="241">
        <f t="shared" si="4"/>
        <v>1.0008999999999999</v>
      </c>
      <c r="Q23" s="538"/>
      <c r="R23" s="539">
        <f t="shared" si="5"/>
        <v>0.98099999999999998</v>
      </c>
      <c r="S23" s="539">
        <f t="shared" si="6"/>
        <v>1.9900000000000001E-2</v>
      </c>
    </row>
    <row r="24" spans="1:19" x14ac:dyDescent="0.25">
      <c r="A24" s="84">
        <v>2</v>
      </c>
      <c r="B24" s="537" t="s">
        <v>432</v>
      </c>
      <c r="C24" s="538">
        <v>0.7</v>
      </c>
      <c r="D24" s="538">
        <v>0.184</v>
      </c>
      <c r="E24" s="538">
        <v>7.8E-2</v>
      </c>
      <c r="F24" s="538">
        <v>1.6E-2</v>
      </c>
      <c r="G24" s="538">
        <v>0.01</v>
      </c>
      <c r="H24" s="538">
        <v>5.0000000000000001E-3</v>
      </c>
      <c r="I24" s="538">
        <v>2.8E-3</v>
      </c>
      <c r="J24" s="538">
        <v>2.0000000000000001E-4</v>
      </c>
      <c r="K24" s="538"/>
      <c r="L24" s="211">
        <f t="shared" si="0"/>
        <v>0.189</v>
      </c>
      <c r="M24" s="211">
        <f t="shared" si="1"/>
        <v>8.0799999999999997E-2</v>
      </c>
      <c r="N24" s="211">
        <f t="shared" si="2"/>
        <v>1.6199999999999999E-2</v>
      </c>
      <c r="O24" s="211">
        <f t="shared" si="3"/>
        <v>0.71</v>
      </c>
      <c r="P24" s="241">
        <f t="shared" si="4"/>
        <v>0.996</v>
      </c>
      <c r="Q24" s="538"/>
      <c r="R24" s="539">
        <f t="shared" si="5"/>
        <v>0.97799999999999987</v>
      </c>
      <c r="S24" s="539">
        <f t="shared" si="6"/>
        <v>1.7999999999999999E-2</v>
      </c>
    </row>
    <row r="25" spans="1:19" x14ac:dyDescent="0.25">
      <c r="A25" s="84">
        <v>9</v>
      </c>
      <c r="B25" s="537" t="s">
        <v>433</v>
      </c>
      <c r="C25" s="538">
        <v>0.57550000000000001</v>
      </c>
      <c r="D25" s="538">
        <v>0.20519999999999999</v>
      </c>
      <c r="E25" s="538">
        <v>0.1719</v>
      </c>
      <c r="F25" s="538">
        <v>2.5399999999999999E-2</v>
      </c>
      <c r="G25" s="538">
        <v>0.01</v>
      </c>
      <c r="H25" s="538">
        <v>4.7999999999999996E-3</v>
      </c>
      <c r="I25" s="538">
        <v>4.1000000000000003E-3</v>
      </c>
      <c r="J25" s="538">
        <v>5.9999999999999995E-4</v>
      </c>
      <c r="K25" s="538"/>
      <c r="L25" s="211">
        <f t="shared" si="0"/>
        <v>0.21</v>
      </c>
      <c r="M25" s="211">
        <f t="shared" si="1"/>
        <v>0.17599999999999999</v>
      </c>
      <c r="N25" s="211">
        <f t="shared" si="2"/>
        <v>2.5999999999999999E-2</v>
      </c>
      <c r="O25" s="211">
        <f t="shared" si="3"/>
        <v>0.58550000000000002</v>
      </c>
      <c r="P25" s="241">
        <f t="shared" si="4"/>
        <v>0.99750000000000005</v>
      </c>
      <c r="Q25" s="538"/>
      <c r="R25" s="539">
        <f t="shared" si="5"/>
        <v>0.97799999999999987</v>
      </c>
      <c r="S25" s="539">
        <f t="shared" si="6"/>
        <v>1.95E-2</v>
      </c>
    </row>
    <row r="26" spans="1:19" x14ac:dyDescent="0.25">
      <c r="A26" s="84">
        <v>46</v>
      </c>
      <c r="B26" s="537" t="s">
        <v>434</v>
      </c>
      <c r="C26" s="538">
        <v>0.43</v>
      </c>
      <c r="D26" s="538">
        <v>0.33300000000000002</v>
      </c>
      <c r="E26" s="538">
        <v>0.16500000000000001</v>
      </c>
      <c r="F26" s="538">
        <v>4.8000000000000001E-2</v>
      </c>
      <c r="G26" s="538">
        <v>0.01</v>
      </c>
      <c r="H26" s="538">
        <v>7.0000000000000001E-3</v>
      </c>
      <c r="I26" s="538">
        <v>5.0000000000000001E-3</v>
      </c>
      <c r="J26" s="538">
        <v>2E-3</v>
      </c>
      <c r="K26" s="538"/>
      <c r="L26" s="211">
        <f t="shared" si="0"/>
        <v>0.34</v>
      </c>
      <c r="M26" s="211">
        <f t="shared" si="1"/>
        <v>0.17</v>
      </c>
      <c r="N26" s="211">
        <f t="shared" si="2"/>
        <v>0.05</v>
      </c>
      <c r="O26" s="211">
        <f t="shared" si="3"/>
        <v>0.44</v>
      </c>
      <c r="P26" s="241">
        <f t="shared" si="4"/>
        <v>1</v>
      </c>
      <c r="Q26" s="538"/>
      <c r="R26" s="539">
        <f t="shared" si="5"/>
        <v>0.97600000000000009</v>
      </c>
      <c r="S26" s="539">
        <f t="shared" si="6"/>
        <v>2.4E-2</v>
      </c>
    </row>
    <row r="27" spans="1:19" x14ac:dyDescent="0.25">
      <c r="A27" s="84">
        <v>25</v>
      </c>
      <c r="B27" s="537" t="s">
        <v>435</v>
      </c>
      <c r="C27" s="538">
        <v>0.48</v>
      </c>
      <c r="D27" s="538">
        <v>0.372</v>
      </c>
      <c r="E27" s="538">
        <v>9.6000000000000002E-2</v>
      </c>
      <c r="F27" s="538">
        <v>2.8000000000000001E-2</v>
      </c>
      <c r="G27" s="538">
        <v>0.01</v>
      </c>
      <c r="H27" s="538">
        <v>8.0000000000000002E-3</v>
      </c>
      <c r="I27" s="538">
        <v>4.0000000000000001E-3</v>
      </c>
      <c r="J27" s="538">
        <v>2E-3</v>
      </c>
      <c r="K27" s="538"/>
      <c r="L27" s="211">
        <f t="shared" si="0"/>
        <v>0.38</v>
      </c>
      <c r="M27" s="211">
        <f t="shared" si="1"/>
        <v>0.1</v>
      </c>
      <c r="N27" s="211">
        <f t="shared" si="2"/>
        <v>0.03</v>
      </c>
      <c r="O27" s="211">
        <f t="shared" si="3"/>
        <v>0.49</v>
      </c>
      <c r="P27" s="241">
        <f t="shared" si="4"/>
        <v>1</v>
      </c>
      <c r="Q27" s="538"/>
      <c r="R27" s="539">
        <f t="shared" si="5"/>
        <v>0.97599999999999998</v>
      </c>
      <c r="S27" s="539">
        <f t="shared" si="6"/>
        <v>2.4E-2</v>
      </c>
    </row>
    <row r="28" spans="1:19" x14ac:dyDescent="0.25">
      <c r="A28" s="84">
        <v>3</v>
      </c>
      <c r="B28" s="537" t="s">
        <v>436</v>
      </c>
      <c r="C28" s="538">
        <v>0.63300000000000001</v>
      </c>
      <c r="D28" s="538">
        <v>0.185</v>
      </c>
      <c r="E28" s="538">
        <v>0.14599999999999999</v>
      </c>
      <c r="F28" s="538">
        <v>9.9000000000000008E-3</v>
      </c>
      <c r="G28" s="538">
        <v>0.01</v>
      </c>
      <c r="H28" s="538">
        <v>5.0000000000000001E-3</v>
      </c>
      <c r="I28" s="538">
        <v>4.0000000000000001E-3</v>
      </c>
      <c r="J28" s="538">
        <v>1E-4</v>
      </c>
      <c r="K28" s="538"/>
      <c r="L28" s="211">
        <f t="shared" si="0"/>
        <v>0.19</v>
      </c>
      <c r="M28" s="211">
        <f t="shared" si="1"/>
        <v>0.15</v>
      </c>
      <c r="N28" s="211">
        <f t="shared" si="2"/>
        <v>0.01</v>
      </c>
      <c r="O28" s="211">
        <f t="shared" si="3"/>
        <v>0.64300000000000002</v>
      </c>
      <c r="P28" s="241">
        <f t="shared" si="4"/>
        <v>0.99299999999999999</v>
      </c>
      <c r="Q28" s="538"/>
      <c r="R28" s="539">
        <f t="shared" si="5"/>
        <v>0.9739000000000001</v>
      </c>
      <c r="S28" s="539">
        <f t="shared" si="6"/>
        <v>1.9099999999999999E-2</v>
      </c>
    </row>
    <row r="29" spans="1:19" x14ac:dyDescent="0.25">
      <c r="A29" s="84">
        <v>34</v>
      </c>
      <c r="B29" s="537" t="s">
        <v>437</v>
      </c>
      <c r="C29" s="538">
        <v>0.46700000000000003</v>
      </c>
      <c r="D29" s="538">
        <v>0.27200000000000002</v>
      </c>
      <c r="E29" s="538">
        <v>0.185</v>
      </c>
      <c r="F29" s="538">
        <v>4.9000000000000002E-2</v>
      </c>
      <c r="G29" s="538">
        <v>0.01</v>
      </c>
      <c r="H29" s="538">
        <v>8.0000000000000002E-3</v>
      </c>
      <c r="I29" s="538">
        <v>5.0000000000000001E-3</v>
      </c>
      <c r="J29" s="538">
        <v>1E-3</v>
      </c>
      <c r="K29" s="538"/>
      <c r="L29" s="211">
        <f t="shared" si="0"/>
        <v>0.28000000000000003</v>
      </c>
      <c r="M29" s="211">
        <f t="shared" si="1"/>
        <v>0.19</v>
      </c>
      <c r="N29" s="211">
        <f t="shared" si="2"/>
        <v>0.05</v>
      </c>
      <c r="O29" s="211">
        <f t="shared" si="3"/>
        <v>0.47700000000000004</v>
      </c>
      <c r="P29" s="241">
        <f t="shared" si="4"/>
        <v>0.99700000000000011</v>
      </c>
      <c r="Q29" s="538"/>
      <c r="R29" s="539">
        <f t="shared" si="5"/>
        <v>0.9730000000000002</v>
      </c>
      <c r="S29" s="539">
        <f t="shared" si="6"/>
        <v>2.4000000000000004E-2</v>
      </c>
    </row>
    <row r="30" spans="1:19" x14ac:dyDescent="0.25">
      <c r="A30" s="84">
        <v>4</v>
      </c>
      <c r="B30" s="537" t="s">
        <v>438</v>
      </c>
      <c r="C30" s="538">
        <v>0.62</v>
      </c>
      <c r="D30" s="538">
        <v>0.2</v>
      </c>
      <c r="E30" s="538">
        <v>0.11</v>
      </c>
      <c r="F30" s="538">
        <v>0.04</v>
      </c>
      <c r="G30" s="538">
        <v>0.01</v>
      </c>
      <c r="H30" s="538">
        <v>0.01</v>
      </c>
      <c r="I30" s="538">
        <v>7.0000000000000001E-3</v>
      </c>
      <c r="J30" s="538">
        <v>3.0000000000000001E-3</v>
      </c>
      <c r="K30" s="538"/>
      <c r="L30" s="211">
        <f t="shared" si="0"/>
        <v>0.21000000000000002</v>
      </c>
      <c r="M30" s="211">
        <f t="shared" si="1"/>
        <v>0.11700000000000001</v>
      </c>
      <c r="N30" s="211">
        <f t="shared" si="2"/>
        <v>4.3000000000000003E-2</v>
      </c>
      <c r="O30" s="211">
        <f t="shared" si="3"/>
        <v>0.63</v>
      </c>
      <c r="P30" s="241">
        <f t="shared" si="4"/>
        <v>1</v>
      </c>
      <c r="Q30" s="538"/>
      <c r="R30" s="539">
        <f t="shared" si="5"/>
        <v>0.97000000000000008</v>
      </c>
      <c r="S30" s="539">
        <f t="shared" si="6"/>
        <v>0.03</v>
      </c>
    </row>
    <row r="31" spans="1:19" x14ac:dyDescent="0.25">
      <c r="A31" s="84">
        <v>5</v>
      </c>
      <c r="B31" s="537" t="s">
        <v>439</v>
      </c>
      <c r="C31" s="538">
        <v>0.62</v>
      </c>
      <c r="D31" s="538">
        <v>0.23</v>
      </c>
      <c r="E31" s="538">
        <v>0.11</v>
      </c>
      <c r="F31" s="538">
        <v>0.01</v>
      </c>
      <c r="G31" s="538">
        <v>0.01</v>
      </c>
      <c r="H31" s="538">
        <v>0.01</v>
      </c>
      <c r="I31" s="538">
        <v>7.0000000000000001E-3</v>
      </c>
      <c r="J31" s="538">
        <v>3.0000000000000001E-3</v>
      </c>
      <c r="K31" s="538"/>
      <c r="L31" s="211">
        <f t="shared" si="0"/>
        <v>0.24000000000000002</v>
      </c>
      <c r="M31" s="211">
        <f t="shared" si="1"/>
        <v>0.11700000000000001</v>
      </c>
      <c r="N31" s="211">
        <f t="shared" si="2"/>
        <v>1.3000000000000001E-2</v>
      </c>
      <c r="O31" s="211">
        <f t="shared" si="3"/>
        <v>0.63</v>
      </c>
      <c r="P31" s="241">
        <f t="shared" si="4"/>
        <v>1</v>
      </c>
      <c r="Q31" s="538"/>
      <c r="R31" s="539">
        <f t="shared" si="5"/>
        <v>0.97</v>
      </c>
      <c r="S31" s="539">
        <f t="shared" si="6"/>
        <v>0.03</v>
      </c>
    </row>
    <row r="32" spans="1:19" x14ac:dyDescent="0.25">
      <c r="A32" s="84">
        <v>1</v>
      </c>
      <c r="B32" s="541" t="s">
        <v>440</v>
      </c>
      <c r="C32" s="538">
        <v>0.75</v>
      </c>
      <c r="D32" s="538">
        <v>0.14000000000000001</v>
      </c>
      <c r="E32" s="538">
        <v>7.0999999999999994E-2</v>
      </c>
      <c r="F32" s="538">
        <v>5.0000000000000001E-3</v>
      </c>
      <c r="G32" s="538">
        <v>0.02</v>
      </c>
      <c r="H32" s="538">
        <v>7.0000000000000001E-3</v>
      </c>
      <c r="I32" s="538">
        <v>3.0000000000000001E-3</v>
      </c>
      <c r="J32" s="538">
        <v>2.0000000000000001E-4</v>
      </c>
      <c r="K32" s="538"/>
      <c r="L32" s="211">
        <f t="shared" si="0"/>
        <v>0.14700000000000002</v>
      </c>
      <c r="M32" s="211">
        <f t="shared" si="1"/>
        <v>7.3999999999999996E-2</v>
      </c>
      <c r="N32" s="211">
        <f t="shared" si="2"/>
        <v>5.1999999999999998E-3</v>
      </c>
      <c r="O32" s="211">
        <f t="shared" si="3"/>
        <v>0.77</v>
      </c>
      <c r="P32" s="241">
        <f t="shared" si="4"/>
        <v>0.99620000000000009</v>
      </c>
      <c r="Q32" s="538"/>
      <c r="R32" s="539">
        <f t="shared" si="5"/>
        <v>0.96599999999999997</v>
      </c>
      <c r="S32" s="539">
        <f t="shared" si="6"/>
        <v>3.0199999999999998E-2</v>
      </c>
    </row>
    <row r="33" spans="1:19" x14ac:dyDescent="0.25">
      <c r="A33" s="84">
        <v>32</v>
      </c>
      <c r="B33" s="537" t="s">
        <v>441</v>
      </c>
      <c r="C33" s="538">
        <v>0.46829999999999999</v>
      </c>
      <c r="D33" s="538">
        <v>0.24149999999999999</v>
      </c>
      <c r="E33" s="538">
        <v>0.21060000000000001</v>
      </c>
      <c r="F33" s="538">
        <v>4.2900000000000001E-2</v>
      </c>
      <c r="G33" s="538">
        <v>0.01</v>
      </c>
      <c r="H33" s="538">
        <v>9.1999999999999998E-3</v>
      </c>
      <c r="I33" s="538">
        <v>8.0000000000000002E-3</v>
      </c>
      <c r="J33" s="538">
        <v>1.6000000000000001E-3</v>
      </c>
      <c r="K33" s="538"/>
      <c r="L33" s="211">
        <f t="shared" si="0"/>
        <v>0.25069999999999998</v>
      </c>
      <c r="M33" s="211">
        <f t="shared" si="1"/>
        <v>0.21860000000000002</v>
      </c>
      <c r="N33" s="211">
        <f t="shared" si="2"/>
        <v>4.4499999999999998E-2</v>
      </c>
      <c r="O33" s="211">
        <f t="shared" si="3"/>
        <v>0.4783</v>
      </c>
      <c r="P33" s="241">
        <f t="shared" si="4"/>
        <v>0.99209999999999998</v>
      </c>
      <c r="Q33" s="538"/>
      <c r="R33" s="539">
        <f t="shared" si="5"/>
        <v>0.96330000000000005</v>
      </c>
      <c r="S33" s="539">
        <f t="shared" si="6"/>
        <v>2.8800000000000003E-2</v>
      </c>
    </row>
    <row r="34" spans="1:19" x14ac:dyDescent="0.25">
      <c r="A34" s="84">
        <v>39</v>
      </c>
      <c r="B34" s="537" t="s">
        <v>442</v>
      </c>
      <c r="C34" s="538">
        <v>0.45600000000000002</v>
      </c>
      <c r="D34" s="538">
        <v>0.252</v>
      </c>
      <c r="E34" s="538">
        <v>0.21279999999999999</v>
      </c>
      <c r="F34" s="538">
        <v>4.2000000000000003E-2</v>
      </c>
      <c r="G34" s="538">
        <v>0.01</v>
      </c>
      <c r="H34" s="538">
        <v>0.01</v>
      </c>
      <c r="I34" s="538">
        <v>8.9999999999999993E-3</v>
      </c>
      <c r="J34" s="538">
        <v>2.0000000000000001E-4</v>
      </c>
      <c r="K34" s="538"/>
      <c r="L34" s="211">
        <f t="shared" si="0"/>
        <v>0.26200000000000001</v>
      </c>
      <c r="M34" s="211">
        <f t="shared" si="1"/>
        <v>0.2218</v>
      </c>
      <c r="N34" s="211">
        <f t="shared" si="2"/>
        <v>4.2200000000000001E-2</v>
      </c>
      <c r="O34" s="211">
        <f t="shared" si="3"/>
        <v>0.46600000000000003</v>
      </c>
      <c r="P34" s="241">
        <f t="shared" si="4"/>
        <v>0.99199999999999999</v>
      </c>
      <c r="Q34" s="538"/>
      <c r="R34" s="539">
        <f t="shared" si="5"/>
        <v>0.96279999999999999</v>
      </c>
      <c r="S34" s="539">
        <f t="shared" si="6"/>
        <v>2.9199999999999997E-2</v>
      </c>
    </row>
    <row r="35" spans="1:19" x14ac:dyDescent="0.25">
      <c r="A35" s="84">
        <v>63</v>
      </c>
      <c r="B35" s="537" t="s">
        <v>443</v>
      </c>
      <c r="C35" s="538">
        <v>0.38300000000000001</v>
      </c>
      <c r="D35" s="538">
        <v>0.26</v>
      </c>
      <c r="E35" s="538">
        <v>0.25</v>
      </c>
      <c r="F35" s="538">
        <v>6.7000000000000004E-2</v>
      </c>
      <c r="G35" s="538">
        <v>0.01</v>
      </c>
      <c r="H35" s="538">
        <v>0.01</v>
      </c>
      <c r="I35" s="538">
        <v>0.01</v>
      </c>
      <c r="J35" s="538">
        <v>3.0000000000000001E-3</v>
      </c>
      <c r="K35" s="538"/>
      <c r="L35" s="211">
        <f t="shared" si="0"/>
        <v>0.27</v>
      </c>
      <c r="M35" s="211">
        <f t="shared" si="1"/>
        <v>0.26</v>
      </c>
      <c r="N35" s="211">
        <f t="shared" si="2"/>
        <v>7.0000000000000007E-2</v>
      </c>
      <c r="O35" s="211">
        <f t="shared" si="3"/>
        <v>0.39300000000000002</v>
      </c>
      <c r="P35" s="241">
        <f t="shared" si="4"/>
        <v>0.9930000000000001</v>
      </c>
      <c r="Q35" s="538"/>
      <c r="R35" s="539">
        <f t="shared" si="5"/>
        <v>0.96</v>
      </c>
      <c r="S35" s="539">
        <f t="shared" si="6"/>
        <v>3.3000000000000002E-2</v>
      </c>
    </row>
    <row r="36" spans="1:19" x14ac:dyDescent="0.25">
      <c r="A36" s="84">
        <v>31</v>
      </c>
      <c r="B36" s="537" t="s">
        <v>444</v>
      </c>
      <c r="C36" s="538">
        <v>0.46879999999999999</v>
      </c>
      <c r="D36" s="538">
        <v>0.21640000000000001</v>
      </c>
      <c r="E36" s="538">
        <v>0.2286</v>
      </c>
      <c r="F36" s="538">
        <v>4.5199999999999997E-2</v>
      </c>
      <c r="G36" s="538">
        <v>0.02</v>
      </c>
      <c r="H36" s="538">
        <v>8.9999999999999993E-3</v>
      </c>
      <c r="I36" s="538">
        <v>0.01</v>
      </c>
      <c r="J36" s="538">
        <v>2E-3</v>
      </c>
      <c r="K36" s="538"/>
      <c r="L36" s="211">
        <f t="shared" ref="L36:L67" si="11">D36+H36</f>
        <v>0.22540000000000002</v>
      </c>
      <c r="M36" s="211">
        <f t="shared" ref="M36:M67" si="12">E36 + I36</f>
        <v>0.23860000000000001</v>
      </c>
      <c r="N36" s="211">
        <f t="shared" ref="N36:N67" si="13">F36 + J36</f>
        <v>4.7199999999999999E-2</v>
      </c>
      <c r="O36" s="211">
        <f t="shared" ref="O36:O67" si="14">C36 + G36</f>
        <v>0.48880000000000001</v>
      </c>
      <c r="P36" s="241">
        <f t="shared" ref="P36:P67" si="15">SUM(L36:O36)</f>
        <v>1</v>
      </c>
      <c r="Q36" s="538"/>
      <c r="R36" s="539">
        <f t="shared" ref="R36:R67" si="16">SUM(C36:F36)</f>
        <v>0.95900000000000007</v>
      </c>
      <c r="S36" s="539">
        <f t="shared" ref="S36:S67" si="17">SUM(G36:J36)</f>
        <v>4.1000000000000002E-2</v>
      </c>
    </row>
    <row r="37" spans="1:19" x14ac:dyDescent="0.25">
      <c r="A37" s="84">
        <v>7</v>
      </c>
      <c r="B37" s="537" t="s">
        <v>445</v>
      </c>
      <c r="C37" s="538">
        <v>0.59089999999999998</v>
      </c>
      <c r="D37" s="538">
        <v>0.26229999999999998</v>
      </c>
      <c r="E37" s="538">
        <v>8.5300000000000001E-2</v>
      </c>
      <c r="F37" s="538">
        <v>1.7299999999999999E-2</v>
      </c>
      <c r="G37" s="538">
        <v>0.02</v>
      </c>
      <c r="H37" s="538">
        <v>1.21E-2</v>
      </c>
      <c r="I37" s="538">
        <v>4.0000000000000001E-3</v>
      </c>
      <c r="J37" s="538">
        <v>8.0000000000000004E-4</v>
      </c>
      <c r="K37" s="538"/>
      <c r="L37" s="211">
        <f t="shared" si="11"/>
        <v>0.27439999999999998</v>
      </c>
      <c r="M37" s="211">
        <f t="shared" si="12"/>
        <v>8.9300000000000004E-2</v>
      </c>
      <c r="N37" s="211">
        <f t="shared" si="13"/>
        <v>1.8099999999999998E-2</v>
      </c>
      <c r="O37" s="211">
        <f t="shared" si="14"/>
        <v>0.6109</v>
      </c>
      <c r="P37" s="241">
        <f t="shared" si="15"/>
        <v>0.99269999999999992</v>
      </c>
      <c r="Q37" s="538"/>
      <c r="R37" s="539">
        <f t="shared" si="16"/>
        <v>0.95579999999999998</v>
      </c>
      <c r="S37" s="539">
        <f t="shared" si="17"/>
        <v>3.6900000000000009E-2</v>
      </c>
    </row>
    <row r="38" spans="1:19" x14ac:dyDescent="0.25">
      <c r="A38" s="84">
        <v>44</v>
      </c>
      <c r="B38" s="537" t="s">
        <v>446</v>
      </c>
      <c r="C38" s="538">
        <v>0.43419999999999997</v>
      </c>
      <c r="D38" s="538">
        <v>0.21</v>
      </c>
      <c r="E38" s="538">
        <v>0.25779999999999997</v>
      </c>
      <c r="F38" s="538">
        <v>5.1299999999999998E-2</v>
      </c>
      <c r="G38" s="538">
        <v>0.02</v>
      </c>
      <c r="H38" s="538">
        <v>1.04E-2</v>
      </c>
      <c r="I38" s="538">
        <v>1.2500000000000001E-2</v>
      </c>
      <c r="J38" s="538">
        <v>2.5999999999999999E-3</v>
      </c>
      <c r="K38" s="538"/>
      <c r="L38" s="211">
        <f t="shared" si="11"/>
        <v>0.22039999999999998</v>
      </c>
      <c r="M38" s="211">
        <f t="shared" si="12"/>
        <v>0.27029999999999998</v>
      </c>
      <c r="N38" s="211">
        <f t="shared" si="13"/>
        <v>5.3899999999999997E-2</v>
      </c>
      <c r="O38" s="211">
        <f t="shared" si="14"/>
        <v>0.45419999999999999</v>
      </c>
      <c r="P38" s="241">
        <f t="shared" si="15"/>
        <v>0.99879999999999991</v>
      </c>
      <c r="Q38" s="538"/>
      <c r="R38" s="539">
        <f t="shared" si="16"/>
        <v>0.95329999999999993</v>
      </c>
      <c r="S38" s="539">
        <f t="shared" si="17"/>
        <v>4.5499999999999999E-2</v>
      </c>
    </row>
    <row r="39" spans="1:19" x14ac:dyDescent="0.25">
      <c r="A39" s="84">
        <v>19</v>
      </c>
      <c r="B39" s="537" t="s">
        <v>447</v>
      </c>
      <c r="C39" s="538">
        <v>0.50229999999999997</v>
      </c>
      <c r="D39" s="538">
        <v>0.21609999999999999</v>
      </c>
      <c r="E39" s="538">
        <v>0.19589999999999999</v>
      </c>
      <c r="F39" s="538">
        <v>3.4700000000000002E-2</v>
      </c>
      <c r="G39" s="538">
        <v>0.02</v>
      </c>
      <c r="H39" s="538">
        <v>1.1599999999999999E-2</v>
      </c>
      <c r="I39" s="538">
        <v>1.0500000000000001E-2</v>
      </c>
      <c r="J39" s="538">
        <v>1.9E-3</v>
      </c>
      <c r="K39" s="538"/>
      <c r="L39" s="211">
        <f t="shared" si="11"/>
        <v>0.22769999999999999</v>
      </c>
      <c r="M39" s="211">
        <f t="shared" si="12"/>
        <v>0.2064</v>
      </c>
      <c r="N39" s="211">
        <f t="shared" si="13"/>
        <v>3.6600000000000001E-2</v>
      </c>
      <c r="O39" s="211">
        <f t="shared" si="14"/>
        <v>0.52229999999999999</v>
      </c>
      <c r="P39" s="241">
        <f t="shared" si="15"/>
        <v>0.99299999999999999</v>
      </c>
      <c r="Q39" s="538"/>
      <c r="R39" s="539">
        <f t="shared" si="16"/>
        <v>0.94899999999999984</v>
      </c>
      <c r="S39" s="539">
        <f t="shared" si="17"/>
        <v>4.4000000000000004E-2</v>
      </c>
    </row>
    <row r="40" spans="1:19" x14ac:dyDescent="0.25">
      <c r="A40" s="84">
        <v>10</v>
      </c>
      <c r="B40" s="537" t="s">
        <v>448</v>
      </c>
      <c r="C40" s="538">
        <v>0.57499999999999996</v>
      </c>
      <c r="D40" s="538">
        <v>0.27</v>
      </c>
      <c r="E40" s="538">
        <v>7.8E-2</v>
      </c>
      <c r="F40" s="538">
        <v>2.5000000000000001E-2</v>
      </c>
      <c r="G40" s="538">
        <v>0.02</v>
      </c>
      <c r="H40" s="538">
        <v>1.7000000000000001E-2</v>
      </c>
      <c r="I40" s="538">
        <v>6.0000000000000001E-3</v>
      </c>
      <c r="J40" s="538">
        <v>2E-3</v>
      </c>
      <c r="K40" s="538"/>
      <c r="L40" s="211">
        <f t="shared" si="11"/>
        <v>0.28700000000000003</v>
      </c>
      <c r="M40" s="211">
        <f t="shared" si="12"/>
        <v>8.4000000000000005E-2</v>
      </c>
      <c r="N40" s="211">
        <f t="shared" si="13"/>
        <v>2.7000000000000003E-2</v>
      </c>
      <c r="O40" s="211">
        <f t="shared" si="14"/>
        <v>0.59499999999999997</v>
      </c>
      <c r="P40" s="241">
        <f t="shared" si="15"/>
        <v>0.9930000000000001</v>
      </c>
      <c r="Q40" s="538"/>
      <c r="R40" s="539">
        <f t="shared" si="16"/>
        <v>0.94799999999999995</v>
      </c>
      <c r="S40" s="539">
        <f t="shared" si="17"/>
        <v>4.5000000000000005E-2</v>
      </c>
    </row>
    <row r="41" spans="1:19" x14ac:dyDescent="0.25">
      <c r="A41" s="84">
        <v>111</v>
      </c>
      <c r="B41" s="537" t="s">
        <v>449</v>
      </c>
      <c r="C41" s="538">
        <v>0.29420000000000002</v>
      </c>
      <c r="D41" s="538">
        <v>0.30930000000000002</v>
      </c>
      <c r="E41" s="538">
        <v>0.24979999999999999</v>
      </c>
      <c r="F41" s="538">
        <v>9.2700000000000005E-2</v>
      </c>
      <c r="G41" s="538">
        <v>0.01</v>
      </c>
      <c r="H41" s="538">
        <v>1.77E-2</v>
      </c>
      <c r="I41" s="538">
        <v>1.4200000000000001E-2</v>
      </c>
      <c r="J41" s="538">
        <v>5.3E-3</v>
      </c>
      <c r="K41" s="538"/>
      <c r="L41" s="211">
        <f t="shared" si="11"/>
        <v>0.32700000000000001</v>
      </c>
      <c r="M41" s="211">
        <f t="shared" si="12"/>
        <v>0.26400000000000001</v>
      </c>
      <c r="N41" s="211">
        <f t="shared" si="13"/>
        <v>9.8000000000000004E-2</v>
      </c>
      <c r="O41" s="211">
        <f t="shared" si="14"/>
        <v>0.30420000000000003</v>
      </c>
      <c r="P41" s="241">
        <f t="shared" si="15"/>
        <v>0.99319999999999997</v>
      </c>
      <c r="Q41" s="538"/>
      <c r="R41" s="539">
        <f t="shared" si="16"/>
        <v>0.94600000000000006</v>
      </c>
      <c r="S41" s="539">
        <f t="shared" si="17"/>
        <v>4.7200000000000006E-2</v>
      </c>
    </row>
    <row r="42" spans="1:19" x14ac:dyDescent="0.25">
      <c r="A42" s="84">
        <v>11</v>
      </c>
      <c r="B42" s="537" t="s">
        <v>450</v>
      </c>
      <c r="C42" s="538">
        <v>0.56620000000000004</v>
      </c>
      <c r="D42" s="538">
        <v>0.27160000000000001</v>
      </c>
      <c r="E42" s="538">
        <v>8.7800000000000003E-2</v>
      </c>
      <c r="F42" s="538">
        <v>1.9E-2</v>
      </c>
      <c r="G42" s="538">
        <v>0.03</v>
      </c>
      <c r="H42" s="538">
        <v>1.6299999999999999E-2</v>
      </c>
      <c r="I42" s="538">
        <v>4.8999999999999998E-3</v>
      </c>
      <c r="J42" s="538">
        <v>1.2999999999999999E-3</v>
      </c>
      <c r="K42" s="538"/>
      <c r="L42" s="211">
        <f t="shared" si="11"/>
        <v>0.28789999999999999</v>
      </c>
      <c r="M42" s="211">
        <f t="shared" si="12"/>
        <v>9.2700000000000005E-2</v>
      </c>
      <c r="N42" s="211">
        <f t="shared" si="13"/>
        <v>2.0299999999999999E-2</v>
      </c>
      <c r="O42" s="211">
        <f t="shared" si="14"/>
        <v>0.59620000000000006</v>
      </c>
      <c r="P42" s="241">
        <f t="shared" si="15"/>
        <v>0.9971000000000001</v>
      </c>
      <c r="Q42" s="538"/>
      <c r="R42" s="539">
        <f t="shared" si="16"/>
        <v>0.94460000000000011</v>
      </c>
      <c r="S42" s="539">
        <f t="shared" si="17"/>
        <v>5.2499999999999998E-2</v>
      </c>
    </row>
    <row r="43" spans="1:19" x14ac:dyDescent="0.25">
      <c r="A43" s="84">
        <v>35</v>
      </c>
      <c r="B43" s="537" t="s">
        <v>451</v>
      </c>
      <c r="C43" s="538">
        <v>0.46300000000000002</v>
      </c>
      <c r="D43" s="538">
        <v>0.26679999999999998</v>
      </c>
      <c r="E43" s="538">
        <v>0.17469999999999999</v>
      </c>
      <c r="F43" s="538">
        <v>3.85E-2</v>
      </c>
      <c r="G43" s="538">
        <v>0.02</v>
      </c>
      <c r="H43" s="538">
        <v>1.6E-2</v>
      </c>
      <c r="I43" s="538">
        <v>1.0999999999999999E-2</v>
      </c>
      <c r="J43" s="538">
        <v>2E-3</v>
      </c>
      <c r="K43" s="538"/>
      <c r="L43" s="211">
        <f t="shared" si="11"/>
        <v>0.2828</v>
      </c>
      <c r="M43" s="211">
        <f t="shared" si="12"/>
        <v>0.1857</v>
      </c>
      <c r="N43" s="211">
        <f t="shared" si="13"/>
        <v>4.0500000000000001E-2</v>
      </c>
      <c r="O43" s="211">
        <f t="shared" si="14"/>
        <v>0.48300000000000004</v>
      </c>
      <c r="P43" s="241">
        <f t="shared" si="15"/>
        <v>0.99199999999999999</v>
      </c>
      <c r="Q43" s="538"/>
      <c r="R43" s="539">
        <f t="shared" si="16"/>
        <v>0.94299999999999995</v>
      </c>
      <c r="S43" s="539">
        <f t="shared" si="17"/>
        <v>4.9000000000000002E-2</v>
      </c>
    </row>
    <row r="44" spans="1:19" x14ac:dyDescent="0.25">
      <c r="A44" s="84">
        <v>91</v>
      </c>
      <c r="B44" s="537" t="s">
        <v>452</v>
      </c>
      <c r="C44" s="538">
        <v>0.32529999999999998</v>
      </c>
      <c r="D44" s="538">
        <v>0.218</v>
      </c>
      <c r="E44" s="538">
        <v>0.32100000000000001</v>
      </c>
      <c r="F44" s="538">
        <v>7.6999999999999999E-2</v>
      </c>
      <c r="G44" s="538">
        <v>0.02</v>
      </c>
      <c r="H44" s="538">
        <v>1.3599999999999999E-2</v>
      </c>
      <c r="I44" s="538">
        <v>0.02</v>
      </c>
      <c r="J44" s="538">
        <v>4.7999999999999996E-3</v>
      </c>
      <c r="K44" s="538"/>
      <c r="L44" s="211">
        <f t="shared" si="11"/>
        <v>0.2316</v>
      </c>
      <c r="M44" s="211">
        <f t="shared" si="12"/>
        <v>0.34100000000000003</v>
      </c>
      <c r="N44" s="211">
        <f t="shared" si="13"/>
        <v>8.1799999999999998E-2</v>
      </c>
      <c r="O44" s="211">
        <f t="shared" si="14"/>
        <v>0.3453</v>
      </c>
      <c r="P44" s="241">
        <f t="shared" si="15"/>
        <v>0.99970000000000003</v>
      </c>
      <c r="Q44" s="538"/>
      <c r="R44" s="539">
        <f t="shared" si="16"/>
        <v>0.94130000000000003</v>
      </c>
      <c r="S44" s="539">
        <f t="shared" si="17"/>
        <v>5.8399999999999994E-2</v>
      </c>
    </row>
    <row r="45" spans="1:19" x14ac:dyDescent="0.25">
      <c r="A45" s="84">
        <v>23</v>
      </c>
      <c r="B45" s="537" t="s">
        <v>453</v>
      </c>
      <c r="C45" s="538">
        <v>0.48480000000000001</v>
      </c>
      <c r="D45" s="538">
        <v>0.19350000000000001</v>
      </c>
      <c r="E45" s="538">
        <v>0.2261</v>
      </c>
      <c r="F45" s="538">
        <v>3.6700000000000003E-2</v>
      </c>
      <c r="G45" s="538">
        <v>0.03</v>
      </c>
      <c r="H45" s="538">
        <v>1.3299999999999999E-2</v>
      </c>
      <c r="I45" s="538">
        <v>1.04E-2</v>
      </c>
      <c r="J45" s="538">
        <v>2.5000000000000001E-3</v>
      </c>
      <c r="K45" s="538"/>
      <c r="L45" s="211">
        <f t="shared" si="11"/>
        <v>0.20680000000000001</v>
      </c>
      <c r="M45" s="211">
        <f t="shared" si="12"/>
        <v>0.23649999999999999</v>
      </c>
      <c r="N45" s="211">
        <f t="shared" si="13"/>
        <v>3.9200000000000006E-2</v>
      </c>
      <c r="O45" s="211">
        <f t="shared" si="14"/>
        <v>0.51480000000000004</v>
      </c>
      <c r="P45" s="241">
        <f t="shared" si="15"/>
        <v>0.99730000000000008</v>
      </c>
      <c r="Q45" s="538"/>
      <c r="R45" s="539">
        <f t="shared" si="16"/>
        <v>0.94109999999999994</v>
      </c>
      <c r="S45" s="539">
        <f t="shared" si="17"/>
        <v>5.62E-2</v>
      </c>
    </row>
    <row r="46" spans="1:19" x14ac:dyDescent="0.25">
      <c r="A46" s="84">
        <v>8</v>
      </c>
      <c r="B46" s="537" t="s">
        <v>454</v>
      </c>
      <c r="C46" s="538">
        <v>0.58299999999999996</v>
      </c>
      <c r="D46" s="538">
        <v>0.28199999999999997</v>
      </c>
      <c r="E46" s="538">
        <v>5.6000000000000001E-2</v>
      </c>
      <c r="F46" s="538">
        <v>1.9E-2</v>
      </c>
      <c r="G46" s="538">
        <v>0.03</v>
      </c>
      <c r="H46" s="538">
        <v>1.7999999999999999E-2</v>
      </c>
      <c r="I46" s="538">
        <v>4.0000000000000001E-3</v>
      </c>
      <c r="J46" s="538">
        <v>1E-3</v>
      </c>
      <c r="K46" s="538"/>
      <c r="L46" s="211">
        <f t="shared" si="11"/>
        <v>0.3</v>
      </c>
      <c r="M46" s="211">
        <f t="shared" si="12"/>
        <v>0.06</v>
      </c>
      <c r="N46" s="211">
        <f t="shared" si="13"/>
        <v>0.02</v>
      </c>
      <c r="O46" s="211">
        <f t="shared" si="14"/>
        <v>0.61299999999999999</v>
      </c>
      <c r="P46" s="241">
        <f t="shared" si="15"/>
        <v>0.99299999999999999</v>
      </c>
      <c r="Q46" s="538"/>
      <c r="R46" s="539">
        <f t="shared" si="16"/>
        <v>0.94000000000000006</v>
      </c>
      <c r="S46" s="539">
        <f t="shared" si="17"/>
        <v>5.3000000000000005E-2</v>
      </c>
    </row>
    <row r="47" spans="1:19" x14ac:dyDescent="0.25">
      <c r="A47" s="84">
        <v>24</v>
      </c>
      <c r="B47" s="537" t="s">
        <v>455</v>
      </c>
      <c r="C47" s="538">
        <v>0.48</v>
      </c>
      <c r="D47" s="538">
        <v>0.27700000000000002</v>
      </c>
      <c r="E47" s="538">
        <v>0.152</v>
      </c>
      <c r="F47" s="538">
        <v>2.8000000000000001E-2</v>
      </c>
      <c r="G47" s="538">
        <v>0.03</v>
      </c>
      <c r="H47" s="538">
        <v>1.7999999999999999E-2</v>
      </c>
      <c r="I47" s="538">
        <v>8.0000000000000002E-3</v>
      </c>
      <c r="J47" s="538">
        <v>2E-3</v>
      </c>
      <c r="K47" s="538"/>
      <c r="L47" s="211">
        <f t="shared" si="11"/>
        <v>0.29500000000000004</v>
      </c>
      <c r="M47" s="211">
        <f t="shared" si="12"/>
        <v>0.16</v>
      </c>
      <c r="N47" s="211">
        <f t="shared" si="13"/>
        <v>0.03</v>
      </c>
      <c r="O47" s="211">
        <f t="shared" si="14"/>
        <v>0.51</v>
      </c>
      <c r="P47" s="241">
        <f t="shared" si="15"/>
        <v>0.99500000000000011</v>
      </c>
      <c r="Q47" s="538"/>
      <c r="R47" s="539">
        <f t="shared" si="16"/>
        <v>0.93700000000000006</v>
      </c>
      <c r="S47" s="539">
        <f t="shared" si="17"/>
        <v>5.8000000000000003E-2</v>
      </c>
    </row>
    <row r="48" spans="1:19" x14ac:dyDescent="0.25">
      <c r="A48" s="84">
        <v>20</v>
      </c>
      <c r="B48" s="537" t="s">
        <v>456</v>
      </c>
      <c r="C48" s="538">
        <v>0.497</v>
      </c>
      <c r="D48" s="538">
        <v>0.28499999999999998</v>
      </c>
      <c r="E48" s="538">
        <v>0.124</v>
      </c>
      <c r="F48" s="538">
        <v>0.03</v>
      </c>
      <c r="G48" s="538">
        <v>0.03</v>
      </c>
      <c r="H48" s="538">
        <v>1.9E-2</v>
      </c>
      <c r="I48" s="538">
        <v>8.9999999999999993E-3</v>
      </c>
      <c r="J48" s="538">
        <v>2E-3</v>
      </c>
      <c r="K48" s="538"/>
      <c r="L48" s="211">
        <f t="shared" si="11"/>
        <v>0.30399999999999999</v>
      </c>
      <c r="M48" s="211">
        <f t="shared" si="12"/>
        <v>0.13300000000000001</v>
      </c>
      <c r="N48" s="211">
        <f t="shared" si="13"/>
        <v>3.2000000000000001E-2</v>
      </c>
      <c r="O48" s="211">
        <f t="shared" si="14"/>
        <v>0.52700000000000002</v>
      </c>
      <c r="P48" s="241">
        <f t="shared" si="15"/>
        <v>0.996</v>
      </c>
      <c r="Q48" s="538"/>
      <c r="R48" s="539">
        <f t="shared" si="16"/>
        <v>0.93600000000000005</v>
      </c>
      <c r="S48" s="539">
        <f t="shared" si="17"/>
        <v>6.0000000000000005E-2</v>
      </c>
    </row>
    <row r="49" spans="1:19" x14ac:dyDescent="0.25">
      <c r="A49" s="84">
        <v>57</v>
      </c>
      <c r="B49" s="537" t="s">
        <v>457</v>
      </c>
      <c r="C49" s="538">
        <v>0.39</v>
      </c>
      <c r="D49" s="538">
        <v>0.28000000000000003</v>
      </c>
      <c r="E49" s="538">
        <v>0.21</v>
      </c>
      <c r="F49" s="538">
        <v>0.05</v>
      </c>
      <c r="G49" s="538">
        <v>0.03</v>
      </c>
      <c r="H49" s="538">
        <v>0.02</v>
      </c>
      <c r="I49" s="538">
        <v>0.01</v>
      </c>
      <c r="J49" s="538">
        <v>0.01</v>
      </c>
      <c r="K49" s="538"/>
      <c r="L49" s="211">
        <f t="shared" si="11"/>
        <v>0.30000000000000004</v>
      </c>
      <c r="M49" s="211">
        <f t="shared" si="12"/>
        <v>0.22</v>
      </c>
      <c r="N49" s="211">
        <f t="shared" si="13"/>
        <v>6.0000000000000005E-2</v>
      </c>
      <c r="O49" s="211">
        <f t="shared" si="14"/>
        <v>0.42000000000000004</v>
      </c>
      <c r="P49" s="241">
        <f t="shared" si="15"/>
        <v>1</v>
      </c>
      <c r="Q49" s="538"/>
      <c r="R49" s="539">
        <f t="shared" si="16"/>
        <v>0.93</v>
      </c>
      <c r="S49" s="539">
        <f t="shared" si="17"/>
        <v>7.0000000000000007E-2</v>
      </c>
    </row>
    <row r="50" spans="1:19" x14ac:dyDescent="0.25">
      <c r="A50" s="84">
        <v>30</v>
      </c>
      <c r="B50" s="537" t="s">
        <v>458</v>
      </c>
      <c r="C50" s="538">
        <v>0.47</v>
      </c>
      <c r="D50" s="538">
        <v>0.23</v>
      </c>
      <c r="E50" s="538">
        <v>0.2</v>
      </c>
      <c r="F50" s="538">
        <v>0.03</v>
      </c>
      <c r="G50" s="538">
        <v>0.03</v>
      </c>
      <c r="H50" s="538">
        <v>0.02</v>
      </c>
      <c r="I50" s="538">
        <v>0.01</v>
      </c>
      <c r="J50" s="538">
        <v>5.0000000000000001E-3</v>
      </c>
      <c r="K50" s="538"/>
      <c r="L50" s="211">
        <f t="shared" si="11"/>
        <v>0.25</v>
      </c>
      <c r="M50" s="211">
        <f t="shared" si="12"/>
        <v>0.21000000000000002</v>
      </c>
      <c r="N50" s="211">
        <f t="shared" si="13"/>
        <v>3.4999999999999996E-2</v>
      </c>
      <c r="O50" s="211">
        <f t="shared" si="14"/>
        <v>0.5</v>
      </c>
      <c r="P50" s="241">
        <f t="shared" si="15"/>
        <v>0.995</v>
      </c>
      <c r="Q50" s="538"/>
      <c r="R50" s="539">
        <f t="shared" si="16"/>
        <v>0.92999999999999994</v>
      </c>
      <c r="S50" s="539">
        <f t="shared" si="17"/>
        <v>6.5000000000000002E-2</v>
      </c>
    </row>
    <row r="51" spans="1:19" x14ac:dyDescent="0.25">
      <c r="A51" s="84">
        <v>101</v>
      </c>
      <c r="B51" s="537" t="s">
        <v>459</v>
      </c>
      <c r="C51" s="538">
        <v>0.307</v>
      </c>
      <c r="D51" s="538">
        <v>0.29799999999999999</v>
      </c>
      <c r="E51" s="538">
        <v>0.24199999999999999</v>
      </c>
      <c r="F51" s="538">
        <v>8.3000000000000004E-2</v>
      </c>
      <c r="G51" s="538">
        <v>0.02</v>
      </c>
      <c r="H51" s="538">
        <v>2.1999999999999999E-2</v>
      </c>
      <c r="I51" s="538">
        <v>1.7999999999999999E-2</v>
      </c>
      <c r="J51" s="538">
        <v>7.0000000000000001E-3</v>
      </c>
      <c r="K51" s="538"/>
      <c r="L51" s="211">
        <f t="shared" si="11"/>
        <v>0.32</v>
      </c>
      <c r="M51" s="211">
        <f t="shared" si="12"/>
        <v>0.26</v>
      </c>
      <c r="N51" s="211">
        <f t="shared" si="13"/>
        <v>9.0000000000000011E-2</v>
      </c>
      <c r="O51" s="211">
        <f t="shared" si="14"/>
        <v>0.32700000000000001</v>
      </c>
      <c r="P51" s="241">
        <f t="shared" si="15"/>
        <v>0.99700000000000011</v>
      </c>
      <c r="Q51" s="538"/>
      <c r="R51" s="539">
        <f t="shared" si="16"/>
        <v>0.92999999999999994</v>
      </c>
      <c r="S51" s="539">
        <f t="shared" si="17"/>
        <v>6.7000000000000004E-2</v>
      </c>
    </row>
    <row r="52" spans="1:19" x14ac:dyDescent="0.25">
      <c r="A52" s="84">
        <v>28</v>
      </c>
      <c r="B52" s="537" t="s">
        <v>460</v>
      </c>
      <c r="C52" s="538">
        <v>0.47239999999999999</v>
      </c>
      <c r="D52" s="538">
        <v>0.2019</v>
      </c>
      <c r="E52" s="538">
        <v>0.217</v>
      </c>
      <c r="F52" s="538">
        <v>3.8199999999999998E-2</v>
      </c>
      <c r="G52" s="538">
        <v>0.03</v>
      </c>
      <c r="H52" s="538">
        <v>1.54E-2</v>
      </c>
      <c r="I52" s="538">
        <v>1.4800000000000001E-2</v>
      </c>
      <c r="J52" s="538">
        <v>3.0000000000000001E-3</v>
      </c>
      <c r="K52" s="538"/>
      <c r="L52" s="211">
        <f t="shared" si="11"/>
        <v>0.21729999999999999</v>
      </c>
      <c r="M52" s="211">
        <f t="shared" si="12"/>
        <v>0.23180000000000001</v>
      </c>
      <c r="N52" s="211">
        <f t="shared" si="13"/>
        <v>4.1200000000000001E-2</v>
      </c>
      <c r="O52" s="211">
        <f t="shared" si="14"/>
        <v>0.50239999999999996</v>
      </c>
      <c r="P52" s="241">
        <f t="shared" si="15"/>
        <v>0.99269999999999992</v>
      </c>
      <c r="Q52" s="538"/>
      <c r="R52" s="539">
        <f t="shared" si="16"/>
        <v>0.92949999999999999</v>
      </c>
      <c r="S52" s="539">
        <f t="shared" si="17"/>
        <v>6.3199999999999992E-2</v>
      </c>
    </row>
    <row r="53" spans="1:19" x14ac:dyDescent="0.25">
      <c r="A53" s="84">
        <v>114</v>
      </c>
      <c r="B53" s="537" t="s">
        <v>461</v>
      </c>
      <c r="C53" s="538">
        <v>0.28999999999999998</v>
      </c>
      <c r="D53" s="538">
        <v>0.46300000000000002</v>
      </c>
      <c r="E53" s="538">
        <v>0.12</v>
      </c>
      <c r="F53" s="538">
        <v>5.6000000000000001E-2</v>
      </c>
      <c r="G53" s="538">
        <v>0.02</v>
      </c>
      <c r="H53" s="538">
        <v>3.6999999999999998E-2</v>
      </c>
      <c r="I53" s="538">
        <v>0.01</v>
      </c>
      <c r="J53" s="538">
        <v>4.0000000000000001E-3</v>
      </c>
      <c r="K53" s="538"/>
      <c r="L53" s="211">
        <f t="shared" si="11"/>
        <v>0.5</v>
      </c>
      <c r="M53" s="211">
        <f t="shared" si="12"/>
        <v>0.13</v>
      </c>
      <c r="N53" s="211">
        <f t="shared" si="13"/>
        <v>0.06</v>
      </c>
      <c r="O53" s="211">
        <f t="shared" si="14"/>
        <v>0.31</v>
      </c>
      <c r="P53" s="241">
        <f t="shared" si="15"/>
        <v>1</v>
      </c>
      <c r="Q53" s="538"/>
      <c r="R53" s="539">
        <f t="shared" si="16"/>
        <v>0.92900000000000005</v>
      </c>
      <c r="S53" s="539">
        <f t="shared" si="17"/>
        <v>7.0999999999999994E-2</v>
      </c>
    </row>
    <row r="54" spans="1:19" x14ac:dyDescent="0.25">
      <c r="A54" s="84">
        <v>26</v>
      </c>
      <c r="B54" s="537" t="s">
        <v>462</v>
      </c>
      <c r="C54" s="538">
        <v>0.47839999999999999</v>
      </c>
      <c r="D54" s="538">
        <v>0.27500000000000002</v>
      </c>
      <c r="E54" s="538">
        <v>0.1532</v>
      </c>
      <c r="F54" s="538">
        <v>2.1399999999999999E-2</v>
      </c>
      <c r="G54" s="538">
        <v>0.03</v>
      </c>
      <c r="H54" s="538">
        <v>2.1000000000000001E-2</v>
      </c>
      <c r="I54" s="538">
        <v>1.17E-2</v>
      </c>
      <c r="J54" s="538">
        <v>1.6000000000000001E-3</v>
      </c>
      <c r="K54" s="538"/>
      <c r="L54" s="211">
        <f t="shared" si="11"/>
        <v>0.29600000000000004</v>
      </c>
      <c r="M54" s="211">
        <f t="shared" si="12"/>
        <v>0.16489999999999999</v>
      </c>
      <c r="N54" s="211">
        <f t="shared" si="13"/>
        <v>2.3E-2</v>
      </c>
      <c r="O54" s="211">
        <f t="shared" si="14"/>
        <v>0.50839999999999996</v>
      </c>
      <c r="P54" s="241">
        <f t="shared" si="15"/>
        <v>0.99229999999999996</v>
      </c>
      <c r="Q54" s="538"/>
      <c r="R54" s="539">
        <f t="shared" si="16"/>
        <v>0.92800000000000005</v>
      </c>
      <c r="S54" s="539">
        <f t="shared" si="17"/>
        <v>6.430000000000001E-2</v>
      </c>
    </row>
    <row r="55" spans="1:19" x14ac:dyDescent="0.25">
      <c r="A55" s="84">
        <v>27</v>
      </c>
      <c r="B55" s="537" t="s">
        <v>463</v>
      </c>
      <c r="C55" s="538">
        <v>0.47799999999999998</v>
      </c>
      <c r="D55" s="538">
        <v>0.23899999999999999</v>
      </c>
      <c r="E55" s="538">
        <v>0.17</v>
      </c>
      <c r="F55" s="538">
        <v>0.04</v>
      </c>
      <c r="G55" s="538">
        <v>0.04</v>
      </c>
      <c r="H55" s="538">
        <v>0.02</v>
      </c>
      <c r="I55" s="538">
        <v>0.01</v>
      </c>
      <c r="J55" s="538">
        <v>3.0000000000000001E-3</v>
      </c>
      <c r="K55" s="538"/>
      <c r="L55" s="211">
        <f t="shared" si="11"/>
        <v>0.25900000000000001</v>
      </c>
      <c r="M55" s="211">
        <f t="shared" si="12"/>
        <v>0.18000000000000002</v>
      </c>
      <c r="N55" s="211">
        <f t="shared" si="13"/>
        <v>4.3000000000000003E-2</v>
      </c>
      <c r="O55" s="211">
        <f t="shared" si="14"/>
        <v>0.51800000000000002</v>
      </c>
      <c r="P55" s="241">
        <f t="shared" si="15"/>
        <v>1</v>
      </c>
      <c r="Q55" s="538"/>
      <c r="R55" s="539">
        <f t="shared" si="16"/>
        <v>0.92700000000000005</v>
      </c>
      <c r="S55" s="539">
        <f t="shared" si="17"/>
        <v>7.2999999999999995E-2</v>
      </c>
    </row>
    <row r="56" spans="1:19" x14ac:dyDescent="0.25">
      <c r="A56" s="84">
        <v>36</v>
      </c>
      <c r="B56" s="537" t="s">
        <v>464</v>
      </c>
      <c r="C56" s="538">
        <v>0.46200000000000002</v>
      </c>
      <c r="D56" s="538">
        <v>0.26400000000000001</v>
      </c>
      <c r="E56" s="538">
        <v>0.16900000000000001</v>
      </c>
      <c r="F56" s="538">
        <v>3.1E-2</v>
      </c>
      <c r="G56" s="538">
        <v>0.03</v>
      </c>
      <c r="H56" s="538">
        <v>2.1000000000000001E-2</v>
      </c>
      <c r="I56" s="538">
        <v>1.4E-2</v>
      </c>
      <c r="J56" s="538">
        <v>2E-3</v>
      </c>
      <c r="K56" s="538"/>
      <c r="L56" s="211">
        <f t="shared" si="11"/>
        <v>0.28500000000000003</v>
      </c>
      <c r="M56" s="211">
        <f t="shared" si="12"/>
        <v>0.18300000000000002</v>
      </c>
      <c r="N56" s="211">
        <f t="shared" si="13"/>
        <v>3.3000000000000002E-2</v>
      </c>
      <c r="O56" s="211">
        <f t="shared" si="14"/>
        <v>0.49199999999999999</v>
      </c>
      <c r="P56" s="241">
        <f t="shared" si="15"/>
        <v>0.9930000000000001</v>
      </c>
      <c r="Q56" s="538"/>
      <c r="R56" s="539">
        <f t="shared" si="16"/>
        <v>0.92600000000000005</v>
      </c>
      <c r="S56" s="539">
        <f t="shared" si="17"/>
        <v>6.7000000000000004E-2</v>
      </c>
    </row>
    <row r="57" spans="1:19" x14ac:dyDescent="0.25">
      <c r="A57" s="84">
        <v>14</v>
      </c>
      <c r="B57" s="537" t="s">
        <v>465</v>
      </c>
      <c r="C57" s="538">
        <v>0.53800000000000003</v>
      </c>
      <c r="D57" s="538">
        <v>0.17599999999999999</v>
      </c>
      <c r="E57" s="538">
        <v>0.183</v>
      </c>
      <c r="F57" s="538">
        <v>2.8000000000000001E-2</v>
      </c>
      <c r="G57" s="538">
        <v>0.04</v>
      </c>
      <c r="H57" s="538">
        <v>1.2999999999999999E-2</v>
      </c>
      <c r="I57" s="538">
        <v>1.2999999999999999E-2</v>
      </c>
      <c r="J57" s="538">
        <v>2E-3</v>
      </c>
      <c r="K57" s="538"/>
      <c r="L57" s="211">
        <f t="shared" si="11"/>
        <v>0.189</v>
      </c>
      <c r="M57" s="211">
        <f t="shared" si="12"/>
        <v>0.19600000000000001</v>
      </c>
      <c r="N57" s="211">
        <f t="shared" si="13"/>
        <v>0.03</v>
      </c>
      <c r="O57" s="211">
        <f t="shared" si="14"/>
        <v>0.57800000000000007</v>
      </c>
      <c r="P57" s="241">
        <f t="shared" si="15"/>
        <v>0.9930000000000001</v>
      </c>
      <c r="Q57" s="538"/>
      <c r="R57" s="539">
        <f t="shared" si="16"/>
        <v>0.92500000000000004</v>
      </c>
      <c r="S57" s="539">
        <f t="shared" si="17"/>
        <v>6.8000000000000005E-2</v>
      </c>
    </row>
    <row r="58" spans="1:19" x14ac:dyDescent="0.25">
      <c r="A58" s="84">
        <v>38</v>
      </c>
      <c r="B58" s="537" t="s">
        <v>466</v>
      </c>
      <c r="C58" s="538">
        <v>0.45800000000000002</v>
      </c>
      <c r="D58" s="538">
        <v>0.33500000000000002</v>
      </c>
      <c r="E58" s="538">
        <v>0.10199999999999999</v>
      </c>
      <c r="F58" s="538">
        <v>2.9000000000000001E-2</v>
      </c>
      <c r="G58" s="538">
        <v>0.03</v>
      </c>
      <c r="H58" s="538">
        <v>2.8000000000000001E-2</v>
      </c>
      <c r="I58" s="538">
        <v>0.01</v>
      </c>
      <c r="J58" s="538">
        <v>2E-3</v>
      </c>
      <c r="K58" s="538"/>
      <c r="L58" s="211">
        <f t="shared" si="11"/>
        <v>0.36300000000000004</v>
      </c>
      <c r="M58" s="211">
        <f t="shared" si="12"/>
        <v>0.11199999999999999</v>
      </c>
      <c r="N58" s="211">
        <f t="shared" si="13"/>
        <v>3.1E-2</v>
      </c>
      <c r="O58" s="211">
        <f t="shared" si="14"/>
        <v>0.48799999999999999</v>
      </c>
      <c r="P58" s="241">
        <f t="shared" si="15"/>
        <v>0.99399999999999999</v>
      </c>
      <c r="Q58" s="538"/>
      <c r="R58" s="539">
        <f t="shared" si="16"/>
        <v>0.92400000000000004</v>
      </c>
      <c r="S58" s="539">
        <f t="shared" si="17"/>
        <v>6.9999999999999993E-2</v>
      </c>
    </row>
    <row r="59" spans="1:19" x14ac:dyDescent="0.25">
      <c r="A59" s="84">
        <v>18</v>
      </c>
      <c r="B59" s="537" t="s">
        <v>467</v>
      </c>
      <c r="C59" s="538">
        <v>0.50580000000000003</v>
      </c>
      <c r="D59" s="538">
        <v>0.2049</v>
      </c>
      <c r="E59" s="538">
        <v>0.2021</v>
      </c>
      <c r="F59" s="538">
        <v>1.0200000000000001E-2</v>
      </c>
      <c r="G59" s="538">
        <v>0.04</v>
      </c>
      <c r="H59" s="538">
        <v>1.7100000000000001E-2</v>
      </c>
      <c r="I59" s="538">
        <v>1.6899999999999998E-2</v>
      </c>
      <c r="J59" s="538">
        <v>8.0000000000000004E-4</v>
      </c>
      <c r="K59" s="538"/>
      <c r="L59" s="211">
        <f t="shared" si="11"/>
        <v>0.222</v>
      </c>
      <c r="M59" s="211">
        <f t="shared" si="12"/>
        <v>0.219</v>
      </c>
      <c r="N59" s="211">
        <f t="shared" si="13"/>
        <v>1.1000000000000001E-2</v>
      </c>
      <c r="O59" s="211">
        <f t="shared" si="14"/>
        <v>0.54580000000000006</v>
      </c>
      <c r="P59" s="241">
        <f t="shared" si="15"/>
        <v>0.99780000000000002</v>
      </c>
      <c r="Q59" s="538"/>
      <c r="R59" s="539">
        <f t="shared" si="16"/>
        <v>0.92300000000000004</v>
      </c>
      <c r="S59" s="539">
        <f t="shared" si="17"/>
        <v>7.4799999999999991E-2</v>
      </c>
    </row>
    <row r="60" spans="1:19" x14ac:dyDescent="0.25">
      <c r="A60" s="84">
        <v>55</v>
      </c>
      <c r="B60" s="537" t="s">
        <v>468</v>
      </c>
      <c r="C60" s="538">
        <v>0.39939999999999998</v>
      </c>
      <c r="D60" s="538">
        <v>0.2079</v>
      </c>
      <c r="E60" s="538">
        <v>0.26340000000000002</v>
      </c>
      <c r="F60" s="538">
        <v>5.1700000000000003E-2</v>
      </c>
      <c r="G60" s="538">
        <v>0.03</v>
      </c>
      <c r="H60" s="538">
        <v>1.7500000000000002E-2</v>
      </c>
      <c r="I60" s="538">
        <v>2.2200000000000001E-2</v>
      </c>
      <c r="J60" s="538">
        <v>4.3E-3</v>
      </c>
      <c r="K60" s="538"/>
      <c r="L60" s="211">
        <f t="shared" si="11"/>
        <v>0.22539999999999999</v>
      </c>
      <c r="M60" s="211">
        <f t="shared" si="12"/>
        <v>0.28560000000000002</v>
      </c>
      <c r="N60" s="211">
        <f t="shared" si="13"/>
        <v>5.6000000000000001E-2</v>
      </c>
      <c r="O60" s="211">
        <f t="shared" si="14"/>
        <v>0.4294</v>
      </c>
      <c r="P60" s="241">
        <f t="shared" si="15"/>
        <v>0.99640000000000006</v>
      </c>
      <c r="Q60" s="538"/>
      <c r="R60" s="539">
        <f t="shared" si="16"/>
        <v>0.9224</v>
      </c>
      <c r="S60" s="539">
        <f t="shared" si="17"/>
        <v>7.3999999999999996E-2</v>
      </c>
    </row>
    <row r="61" spans="1:19" x14ac:dyDescent="0.25">
      <c r="A61" s="84">
        <v>17</v>
      </c>
      <c r="B61" s="537" t="s">
        <v>469</v>
      </c>
      <c r="C61" s="538">
        <v>0.51529999999999998</v>
      </c>
      <c r="D61" s="538">
        <v>0.29449999999999998</v>
      </c>
      <c r="E61" s="538">
        <v>0.1011</v>
      </c>
      <c r="F61" s="538">
        <v>1.15E-2</v>
      </c>
      <c r="G61" s="538">
        <v>0.04</v>
      </c>
      <c r="H61" s="538">
        <v>2.7300000000000001E-2</v>
      </c>
      <c r="I61" s="538">
        <v>5.4000000000000003E-3</v>
      </c>
      <c r="J61" s="538">
        <v>1E-3</v>
      </c>
      <c r="K61" s="538"/>
      <c r="L61" s="211">
        <f t="shared" si="11"/>
        <v>0.32179999999999997</v>
      </c>
      <c r="M61" s="211">
        <f t="shared" si="12"/>
        <v>0.1065</v>
      </c>
      <c r="N61" s="211">
        <f t="shared" si="13"/>
        <v>1.2500000000000001E-2</v>
      </c>
      <c r="O61" s="211">
        <f t="shared" si="14"/>
        <v>0.55530000000000002</v>
      </c>
      <c r="P61" s="241">
        <f t="shared" si="15"/>
        <v>0.99609999999999999</v>
      </c>
      <c r="Q61" s="538"/>
      <c r="R61" s="539">
        <f t="shared" si="16"/>
        <v>0.92239999999999989</v>
      </c>
      <c r="S61" s="539">
        <f t="shared" si="17"/>
        <v>7.3700000000000002E-2</v>
      </c>
    </row>
    <row r="62" spans="1:19" x14ac:dyDescent="0.25">
      <c r="A62" s="84">
        <v>16</v>
      </c>
      <c r="B62" s="537" t="s">
        <v>470</v>
      </c>
      <c r="C62" s="538">
        <v>0.52</v>
      </c>
      <c r="D62" s="538">
        <v>0.24</v>
      </c>
      <c r="E62" s="538">
        <v>0.124</v>
      </c>
      <c r="F62" s="538">
        <v>3.7999999999999999E-2</v>
      </c>
      <c r="G62" s="538">
        <v>0.05</v>
      </c>
      <c r="H62" s="538">
        <v>0.02</v>
      </c>
      <c r="I62" s="538">
        <v>6.0000000000000001E-3</v>
      </c>
      <c r="J62" s="538">
        <v>2E-3</v>
      </c>
      <c r="K62" s="538"/>
      <c r="L62" s="211">
        <f t="shared" si="11"/>
        <v>0.26</v>
      </c>
      <c r="M62" s="211">
        <f t="shared" si="12"/>
        <v>0.13</v>
      </c>
      <c r="N62" s="211">
        <f t="shared" si="13"/>
        <v>0.04</v>
      </c>
      <c r="O62" s="211">
        <f t="shared" si="14"/>
        <v>0.57000000000000006</v>
      </c>
      <c r="P62" s="241">
        <f t="shared" si="15"/>
        <v>1</v>
      </c>
      <c r="Q62" s="538"/>
      <c r="R62" s="539">
        <f t="shared" si="16"/>
        <v>0.92200000000000004</v>
      </c>
      <c r="S62" s="539">
        <f t="shared" si="17"/>
        <v>7.8000000000000014E-2</v>
      </c>
    </row>
    <row r="63" spans="1:19" x14ac:dyDescent="0.25">
      <c r="A63" s="84">
        <v>77</v>
      </c>
      <c r="B63" s="537" t="s">
        <v>471</v>
      </c>
      <c r="C63" s="538">
        <v>0.35220000000000001</v>
      </c>
      <c r="D63" s="538">
        <v>0.40350000000000003</v>
      </c>
      <c r="E63" s="538">
        <v>0.1111</v>
      </c>
      <c r="F63" s="538">
        <v>4.7199999999999999E-2</v>
      </c>
      <c r="G63" s="538">
        <v>0.03</v>
      </c>
      <c r="H63" s="538">
        <v>3.4799999999999998E-2</v>
      </c>
      <c r="I63" s="538">
        <v>8.6999999999999994E-3</v>
      </c>
      <c r="J63" s="538">
        <v>4.0000000000000001E-3</v>
      </c>
      <c r="K63" s="538"/>
      <c r="L63" s="211">
        <f t="shared" si="11"/>
        <v>0.43830000000000002</v>
      </c>
      <c r="M63" s="211">
        <f t="shared" si="12"/>
        <v>0.1198</v>
      </c>
      <c r="N63" s="211">
        <f t="shared" si="13"/>
        <v>5.1199999999999996E-2</v>
      </c>
      <c r="O63" s="211">
        <f t="shared" si="14"/>
        <v>0.38219999999999998</v>
      </c>
      <c r="P63" s="241">
        <f t="shared" si="15"/>
        <v>0.99150000000000005</v>
      </c>
      <c r="Q63" s="538"/>
      <c r="R63" s="539">
        <f t="shared" si="16"/>
        <v>0.91400000000000003</v>
      </c>
      <c r="S63" s="539">
        <f t="shared" si="17"/>
        <v>7.7499999999999999E-2</v>
      </c>
    </row>
    <row r="64" spans="1:19" x14ac:dyDescent="0.25">
      <c r="A64" s="84">
        <v>41</v>
      </c>
      <c r="B64" s="537" t="s">
        <v>472</v>
      </c>
      <c r="C64" s="538">
        <v>0.441</v>
      </c>
      <c r="D64" s="538">
        <v>0.219</v>
      </c>
      <c r="E64" s="538">
        <v>0.20899999999999999</v>
      </c>
      <c r="F64" s="538">
        <v>4.2999999999999997E-2</v>
      </c>
      <c r="G64" s="538">
        <v>0.04</v>
      </c>
      <c r="H64" s="538">
        <v>2.1000000000000001E-2</v>
      </c>
      <c r="I64" s="538">
        <v>0.02</v>
      </c>
      <c r="J64" s="538">
        <v>4.0000000000000001E-3</v>
      </c>
      <c r="K64" s="538"/>
      <c r="L64" s="211">
        <f t="shared" si="11"/>
        <v>0.24</v>
      </c>
      <c r="M64" s="211">
        <f t="shared" si="12"/>
        <v>0.22899999999999998</v>
      </c>
      <c r="N64" s="211">
        <f t="shared" si="13"/>
        <v>4.7E-2</v>
      </c>
      <c r="O64" s="211">
        <f t="shared" si="14"/>
        <v>0.48099999999999998</v>
      </c>
      <c r="P64" s="241">
        <f t="shared" si="15"/>
        <v>0.997</v>
      </c>
      <c r="Q64" s="538"/>
      <c r="R64" s="539">
        <f t="shared" si="16"/>
        <v>0.91200000000000003</v>
      </c>
      <c r="S64" s="539">
        <f t="shared" si="17"/>
        <v>8.5000000000000006E-2</v>
      </c>
    </row>
    <row r="65" spans="1:19" x14ac:dyDescent="0.25">
      <c r="A65" s="84">
        <v>12</v>
      </c>
      <c r="B65" s="537" t="s">
        <v>473</v>
      </c>
      <c r="C65" s="538">
        <v>0.56299999999999994</v>
      </c>
      <c r="D65" s="538">
        <v>0.2611</v>
      </c>
      <c r="E65" s="538">
        <v>7.2800000000000004E-2</v>
      </c>
      <c r="F65" s="538">
        <v>1.47E-2</v>
      </c>
      <c r="G65" s="538">
        <v>0.05</v>
      </c>
      <c r="H65" s="538">
        <v>2.7E-2</v>
      </c>
      <c r="I65" s="538">
        <v>7.0000000000000001E-3</v>
      </c>
      <c r="J65" s="538">
        <v>3.0999999999999999E-3</v>
      </c>
      <c r="K65" s="538"/>
      <c r="L65" s="211">
        <f t="shared" si="11"/>
        <v>0.28810000000000002</v>
      </c>
      <c r="M65" s="211">
        <f t="shared" si="12"/>
        <v>7.980000000000001E-2</v>
      </c>
      <c r="N65" s="211">
        <f t="shared" si="13"/>
        <v>1.78E-2</v>
      </c>
      <c r="O65" s="211">
        <f t="shared" si="14"/>
        <v>0.61299999999999999</v>
      </c>
      <c r="P65" s="241">
        <f t="shared" si="15"/>
        <v>0.99869999999999992</v>
      </c>
      <c r="Q65" s="538"/>
      <c r="R65" s="539">
        <f t="shared" si="16"/>
        <v>0.91159999999999997</v>
      </c>
      <c r="S65" s="539">
        <f t="shared" si="17"/>
        <v>8.7100000000000011E-2</v>
      </c>
    </row>
    <row r="66" spans="1:19" x14ac:dyDescent="0.25">
      <c r="A66" s="84">
        <v>49</v>
      </c>
      <c r="B66" s="537" t="s">
        <v>474</v>
      </c>
      <c r="C66" s="538">
        <v>0.41860000000000003</v>
      </c>
      <c r="D66" s="538">
        <v>0.28210000000000002</v>
      </c>
      <c r="E66" s="538">
        <v>0.1638</v>
      </c>
      <c r="F66" s="538">
        <v>4.5499999999999999E-2</v>
      </c>
      <c r="G66" s="538">
        <v>0.04</v>
      </c>
      <c r="H66" s="538">
        <v>2.7900000000000001E-2</v>
      </c>
      <c r="I66" s="538">
        <v>1.6199999999999999E-2</v>
      </c>
      <c r="J66" s="538">
        <v>4.4999999999999997E-3</v>
      </c>
      <c r="K66" s="538"/>
      <c r="L66" s="211">
        <f t="shared" si="11"/>
        <v>0.31</v>
      </c>
      <c r="M66" s="211">
        <f t="shared" si="12"/>
        <v>0.18</v>
      </c>
      <c r="N66" s="211">
        <f t="shared" si="13"/>
        <v>4.9999999999999996E-2</v>
      </c>
      <c r="O66" s="211">
        <f t="shared" si="14"/>
        <v>0.45860000000000001</v>
      </c>
      <c r="P66" s="241">
        <f t="shared" si="15"/>
        <v>0.99860000000000004</v>
      </c>
      <c r="Q66" s="538"/>
      <c r="R66" s="539">
        <f t="shared" si="16"/>
        <v>0.91</v>
      </c>
      <c r="S66" s="539">
        <f t="shared" si="17"/>
        <v>8.8600000000000012E-2</v>
      </c>
    </row>
    <row r="67" spans="1:19" x14ac:dyDescent="0.25">
      <c r="A67" s="84">
        <v>22</v>
      </c>
      <c r="B67" s="537" t="s">
        <v>475</v>
      </c>
      <c r="C67" s="538">
        <v>0.48899999999999999</v>
      </c>
      <c r="D67" s="538">
        <v>0.31540000000000001</v>
      </c>
      <c r="E67" s="538">
        <v>0.08</v>
      </c>
      <c r="F67" s="538">
        <v>2.4500000000000001E-2</v>
      </c>
      <c r="G67" s="538">
        <v>0.04</v>
      </c>
      <c r="H67" s="538">
        <v>3.1600000000000003E-2</v>
      </c>
      <c r="I67" s="538">
        <v>8.0000000000000002E-3</v>
      </c>
      <c r="J67" s="538">
        <v>2.5000000000000001E-3</v>
      </c>
      <c r="K67" s="538"/>
      <c r="L67" s="211">
        <f t="shared" si="11"/>
        <v>0.34700000000000003</v>
      </c>
      <c r="M67" s="211">
        <f t="shared" si="12"/>
        <v>8.7999999999999995E-2</v>
      </c>
      <c r="N67" s="211">
        <f t="shared" si="13"/>
        <v>2.7E-2</v>
      </c>
      <c r="O67" s="211">
        <f t="shared" si="14"/>
        <v>0.52900000000000003</v>
      </c>
      <c r="P67" s="241">
        <f t="shared" si="15"/>
        <v>0.9910000000000001</v>
      </c>
      <c r="Q67" s="538"/>
      <c r="R67" s="539">
        <f t="shared" si="16"/>
        <v>0.90889999999999993</v>
      </c>
      <c r="S67" s="539">
        <f t="shared" si="17"/>
        <v>8.2100000000000006E-2</v>
      </c>
    </row>
    <row r="68" spans="1:19" x14ac:dyDescent="0.25">
      <c r="A68" s="84">
        <v>45</v>
      </c>
      <c r="B68" s="537" t="s">
        <v>476</v>
      </c>
      <c r="C68" s="538">
        <v>0.43</v>
      </c>
      <c r="D68" s="538">
        <v>0.3</v>
      </c>
      <c r="E68" s="538">
        <v>0.14000000000000001</v>
      </c>
      <c r="F68" s="538">
        <v>3.6999999999999998E-2</v>
      </c>
      <c r="G68" s="538">
        <v>0.05</v>
      </c>
      <c r="H68" s="538">
        <v>0.03</v>
      </c>
      <c r="I68" s="538">
        <v>0.01</v>
      </c>
      <c r="J68" s="538">
        <v>3.0000000000000001E-3</v>
      </c>
      <c r="K68" s="538"/>
      <c r="L68" s="211">
        <f t="shared" ref="L68:L99" si="18">D68+H68</f>
        <v>0.32999999999999996</v>
      </c>
      <c r="M68" s="211">
        <f t="shared" ref="M68:M99" si="19">E68 + I68</f>
        <v>0.15000000000000002</v>
      </c>
      <c r="N68" s="211">
        <f t="shared" ref="N68:N99" si="20">F68 + J68</f>
        <v>0.04</v>
      </c>
      <c r="O68" s="211">
        <f t="shared" ref="O68:O99" si="21">C68 + G68</f>
        <v>0.48</v>
      </c>
      <c r="P68" s="241">
        <f t="shared" ref="P68:P99" si="22">SUM(L68:O68)</f>
        <v>1</v>
      </c>
      <c r="Q68" s="538"/>
      <c r="R68" s="539">
        <f t="shared" ref="R68:R99" si="23">SUM(C68:F68)</f>
        <v>0.90700000000000003</v>
      </c>
      <c r="S68" s="539">
        <f t="shared" ref="S68:S99" si="24">SUM(G68:J68)</f>
        <v>9.2999999999999999E-2</v>
      </c>
    </row>
    <row r="69" spans="1:19" x14ac:dyDescent="0.25">
      <c r="A69" s="84">
        <v>103</v>
      </c>
      <c r="B69" s="537" t="s">
        <v>477</v>
      </c>
      <c r="C69" s="538">
        <v>0.3004</v>
      </c>
      <c r="D69" s="538">
        <v>0.21529999999999999</v>
      </c>
      <c r="E69" s="538">
        <v>0.3024</v>
      </c>
      <c r="F69" s="538">
        <v>8.8300000000000003E-2</v>
      </c>
      <c r="G69" s="538">
        <v>0.03</v>
      </c>
      <c r="H69" s="538">
        <v>2.2200000000000001E-2</v>
      </c>
      <c r="I69" s="538">
        <v>3.1300000000000001E-2</v>
      </c>
      <c r="J69" s="538">
        <v>9.1000000000000004E-3</v>
      </c>
      <c r="K69" s="538"/>
      <c r="L69" s="211">
        <f t="shared" si="18"/>
        <v>0.23749999999999999</v>
      </c>
      <c r="M69" s="211">
        <f t="shared" si="19"/>
        <v>0.3337</v>
      </c>
      <c r="N69" s="211">
        <f t="shared" si="20"/>
        <v>9.74E-2</v>
      </c>
      <c r="O69" s="211">
        <f t="shared" si="21"/>
        <v>0.33040000000000003</v>
      </c>
      <c r="P69" s="241">
        <f t="shared" si="22"/>
        <v>0.999</v>
      </c>
      <c r="Q69" s="538"/>
      <c r="R69" s="539">
        <f t="shared" si="23"/>
        <v>0.90640000000000009</v>
      </c>
      <c r="S69" s="539">
        <f t="shared" si="24"/>
        <v>9.2599999999999988E-2</v>
      </c>
    </row>
    <row r="70" spans="1:19" x14ac:dyDescent="0.25">
      <c r="A70" s="84">
        <v>48</v>
      </c>
      <c r="B70" s="537" t="s">
        <v>478</v>
      </c>
      <c r="C70" s="538">
        <v>0.42299999999999999</v>
      </c>
      <c r="D70" s="538">
        <v>0.29799999999999999</v>
      </c>
      <c r="E70" s="538">
        <v>0.14299999999999999</v>
      </c>
      <c r="F70" s="538">
        <v>4.1000000000000002E-2</v>
      </c>
      <c r="G70" s="538">
        <v>0.04</v>
      </c>
      <c r="H70" s="538">
        <v>3.1E-2</v>
      </c>
      <c r="I70" s="538">
        <v>1.4999999999999999E-2</v>
      </c>
      <c r="J70" s="538">
        <v>4.0000000000000001E-3</v>
      </c>
      <c r="K70" s="538"/>
      <c r="L70" s="211">
        <f t="shared" si="18"/>
        <v>0.32899999999999996</v>
      </c>
      <c r="M70" s="211">
        <f t="shared" si="19"/>
        <v>0.15799999999999997</v>
      </c>
      <c r="N70" s="211">
        <f t="shared" si="20"/>
        <v>4.4999999999999998E-2</v>
      </c>
      <c r="O70" s="211">
        <f t="shared" si="21"/>
        <v>0.46299999999999997</v>
      </c>
      <c r="P70" s="241">
        <f t="shared" si="22"/>
        <v>0.99499999999999988</v>
      </c>
      <c r="Q70" s="538"/>
      <c r="R70" s="539">
        <f t="shared" si="23"/>
        <v>0.90500000000000003</v>
      </c>
      <c r="S70" s="539">
        <f t="shared" si="24"/>
        <v>9.0000000000000011E-2</v>
      </c>
    </row>
    <row r="71" spans="1:19" x14ac:dyDescent="0.25">
      <c r="A71" s="84">
        <v>13</v>
      </c>
      <c r="B71" s="537" t="s">
        <v>479</v>
      </c>
      <c r="C71" s="538">
        <v>0.56069999999999998</v>
      </c>
      <c r="D71" s="538">
        <v>0.28320000000000001</v>
      </c>
      <c r="E71" s="538">
        <v>4.7199999999999999E-2</v>
      </c>
      <c r="F71" s="538">
        <v>1.38E-2</v>
      </c>
      <c r="G71" s="538">
        <v>0.05</v>
      </c>
      <c r="H71" s="538">
        <v>2.9700000000000001E-2</v>
      </c>
      <c r="I71" s="538">
        <v>4.8999999999999998E-3</v>
      </c>
      <c r="J71" s="538">
        <v>1.5E-3</v>
      </c>
      <c r="K71" s="538"/>
      <c r="L71" s="211">
        <f t="shared" si="18"/>
        <v>0.31290000000000001</v>
      </c>
      <c r="M71" s="211">
        <f t="shared" si="19"/>
        <v>5.21E-2</v>
      </c>
      <c r="N71" s="211">
        <f t="shared" si="20"/>
        <v>1.5299999999999999E-2</v>
      </c>
      <c r="O71" s="211">
        <f t="shared" si="21"/>
        <v>0.61070000000000002</v>
      </c>
      <c r="P71" s="241">
        <f t="shared" si="22"/>
        <v>0.99099999999999999</v>
      </c>
      <c r="Q71" s="538"/>
      <c r="R71" s="539">
        <f t="shared" si="23"/>
        <v>0.90490000000000004</v>
      </c>
      <c r="S71" s="539">
        <f t="shared" si="24"/>
        <v>8.610000000000001E-2</v>
      </c>
    </row>
    <row r="72" spans="1:19" x14ac:dyDescent="0.25">
      <c r="A72" s="84">
        <v>93</v>
      </c>
      <c r="B72" s="537" t="s">
        <v>480</v>
      </c>
      <c r="C72" s="538">
        <v>0.32100000000000001</v>
      </c>
      <c r="D72" s="538">
        <v>0.25</v>
      </c>
      <c r="E72" s="538">
        <v>0.25600000000000001</v>
      </c>
      <c r="F72" s="538">
        <v>7.3999999999999996E-2</v>
      </c>
      <c r="G72" s="538">
        <v>0.03</v>
      </c>
      <c r="H72" s="538">
        <v>2.7E-2</v>
      </c>
      <c r="I72" s="538">
        <v>2.7E-2</v>
      </c>
      <c r="J72" s="538">
        <v>8.9999999999999993E-3</v>
      </c>
      <c r="K72" s="538"/>
      <c r="L72" s="211">
        <f t="shared" si="18"/>
        <v>0.27700000000000002</v>
      </c>
      <c r="M72" s="211">
        <f t="shared" si="19"/>
        <v>0.28300000000000003</v>
      </c>
      <c r="N72" s="211">
        <f t="shared" si="20"/>
        <v>8.299999999999999E-2</v>
      </c>
      <c r="O72" s="211">
        <f t="shared" si="21"/>
        <v>0.35099999999999998</v>
      </c>
      <c r="P72" s="241">
        <f t="shared" si="22"/>
        <v>0.99399999999999999</v>
      </c>
      <c r="Q72" s="538"/>
      <c r="R72" s="539">
        <f t="shared" si="23"/>
        <v>0.90099999999999991</v>
      </c>
      <c r="S72" s="539">
        <f t="shared" si="24"/>
        <v>9.2999999999999985E-2</v>
      </c>
    </row>
    <row r="73" spans="1:19" x14ac:dyDescent="0.25">
      <c r="A73" s="84">
        <v>96</v>
      </c>
      <c r="B73" s="537" t="s">
        <v>481</v>
      </c>
      <c r="C73" s="538">
        <v>0.32</v>
      </c>
      <c r="D73" s="538">
        <v>0.34</v>
      </c>
      <c r="E73" s="538">
        <v>0.17</v>
      </c>
      <c r="F73" s="538">
        <v>7.0000000000000007E-2</v>
      </c>
      <c r="G73" s="538">
        <v>0.03</v>
      </c>
      <c r="H73" s="538">
        <v>0.04</v>
      </c>
      <c r="I73" s="538">
        <v>0.02</v>
      </c>
      <c r="J73" s="538">
        <v>0.01</v>
      </c>
      <c r="K73" s="538"/>
      <c r="L73" s="211">
        <f t="shared" si="18"/>
        <v>0.38</v>
      </c>
      <c r="M73" s="211">
        <f t="shared" si="19"/>
        <v>0.19</v>
      </c>
      <c r="N73" s="211">
        <f t="shared" si="20"/>
        <v>0.08</v>
      </c>
      <c r="O73" s="211">
        <f t="shared" si="21"/>
        <v>0.35</v>
      </c>
      <c r="P73" s="241">
        <f t="shared" si="22"/>
        <v>1</v>
      </c>
      <c r="Q73" s="538"/>
      <c r="R73" s="539">
        <f t="shared" si="23"/>
        <v>0.90000000000000013</v>
      </c>
      <c r="S73" s="539">
        <f t="shared" si="24"/>
        <v>0.1</v>
      </c>
    </row>
    <row r="74" spans="1:19" x14ac:dyDescent="0.25">
      <c r="A74" s="84">
        <v>109</v>
      </c>
      <c r="B74" s="537" t="s">
        <v>482</v>
      </c>
      <c r="C74" s="538">
        <v>0.29799999999999999</v>
      </c>
      <c r="D74" s="538">
        <v>0.3</v>
      </c>
      <c r="E74" s="538">
        <v>0.21099999999999999</v>
      </c>
      <c r="F74" s="538">
        <v>0.09</v>
      </c>
      <c r="G74" s="538">
        <v>0.03</v>
      </c>
      <c r="H74" s="538">
        <v>3.4000000000000002E-2</v>
      </c>
      <c r="I74" s="538">
        <v>2.4E-2</v>
      </c>
      <c r="J74" s="538">
        <v>0.01</v>
      </c>
      <c r="K74" s="538"/>
      <c r="L74" s="211">
        <f t="shared" si="18"/>
        <v>0.33399999999999996</v>
      </c>
      <c r="M74" s="211">
        <f t="shared" si="19"/>
        <v>0.23499999999999999</v>
      </c>
      <c r="N74" s="211">
        <f t="shared" si="20"/>
        <v>9.9999999999999992E-2</v>
      </c>
      <c r="O74" s="211">
        <f t="shared" si="21"/>
        <v>0.32799999999999996</v>
      </c>
      <c r="P74" s="241">
        <f t="shared" si="22"/>
        <v>0.99699999999999989</v>
      </c>
      <c r="Q74" s="538"/>
      <c r="R74" s="539">
        <f t="shared" si="23"/>
        <v>0.89899999999999991</v>
      </c>
      <c r="S74" s="539">
        <f t="shared" si="24"/>
        <v>9.799999999999999E-2</v>
      </c>
    </row>
    <row r="75" spans="1:19" x14ac:dyDescent="0.25">
      <c r="A75" s="84">
        <v>88</v>
      </c>
      <c r="B75" s="537" t="s">
        <v>483</v>
      </c>
      <c r="C75" s="538">
        <v>0.33500000000000002</v>
      </c>
      <c r="D75" s="538">
        <v>0.27</v>
      </c>
      <c r="E75" s="538">
        <v>0.222</v>
      </c>
      <c r="F75" s="538">
        <v>7.0000000000000007E-2</v>
      </c>
      <c r="G75" s="538">
        <v>0.04</v>
      </c>
      <c r="H75" s="538">
        <v>0.03</v>
      </c>
      <c r="I75" s="538">
        <v>2.5000000000000001E-2</v>
      </c>
      <c r="J75" s="538">
        <v>8.0000000000000002E-3</v>
      </c>
      <c r="K75" s="538"/>
      <c r="L75" s="211">
        <f t="shared" si="18"/>
        <v>0.30000000000000004</v>
      </c>
      <c r="M75" s="211">
        <f t="shared" si="19"/>
        <v>0.247</v>
      </c>
      <c r="N75" s="211">
        <f t="shared" si="20"/>
        <v>7.8000000000000014E-2</v>
      </c>
      <c r="O75" s="211">
        <f t="shared" si="21"/>
        <v>0.375</v>
      </c>
      <c r="P75" s="241">
        <f t="shared" si="22"/>
        <v>1</v>
      </c>
      <c r="Q75" s="538"/>
      <c r="R75" s="539">
        <f t="shared" si="23"/>
        <v>0.89700000000000002</v>
      </c>
      <c r="S75" s="539">
        <f t="shared" si="24"/>
        <v>0.10300000000000001</v>
      </c>
    </row>
    <row r="76" spans="1:19" x14ac:dyDescent="0.25">
      <c r="A76" s="84">
        <v>53</v>
      </c>
      <c r="B76" s="537" t="s">
        <v>484</v>
      </c>
      <c r="C76" s="538">
        <v>0.4</v>
      </c>
      <c r="D76" s="538">
        <v>0.3</v>
      </c>
      <c r="E76" s="538">
        <v>0.15</v>
      </c>
      <c r="F76" s="538">
        <v>4.2500000000000003E-2</v>
      </c>
      <c r="G76" s="538">
        <v>0.06</v>
      </c>
      <c r="H76" s="538">
        <v>2.3E-2</v>
      </c>
      <c r="I76" s="538">
        <v>1.0999999999999999E-2</v>
      </c>
      <c r="J76" s="538">
        <v>7.4999999999999997E-3</v>
      </c>
      <c r="K76" s="538"/>
      <c r="L76" s="211">
        <f t="shared" si="18"/>
        <v>0.32300000000000001</v>
      </c>
      <c r="M76" s="211">
        <f t="shared" si="19"/>
        <v>0.161</v>
      </c>
      <c r="N76" s="211">
        <f t="shared" si="20"/>
        <v>0.05</v>
      </c>
      <c r="O76" s="211">
        <f t="shared" si="21"/>
        <v>0.46</v>
      </c>
      <c r="P76" s="241">
        <f t="shared" si="22"/>
        <v>0.99399999999999999</v>
      </c>
      <c r="Q76" s="538"/>
      <c r="R76" s="539">
        <f t="shared" si="23"/>
        <v>0.89249999999999996</v>
      </c>
      <c r="S76" s="539">
        <f t="shared" si="24"/>
        <v>0.10149999999999998</v>
      </c>
    </row>
    <row r="77" spans="1:19" x14ac:dyDescent="0.25">
      <c r="A77" s="84">
        <v>66</v>
      </c>
      <c r="B77" s="537" t="s">
        <v>485</v>
      </c>
      <c r="C77" s="538">
        <v>0.38</v>
      </c>
      <c r="D77" s="538">
        <v>0.41</v>
      </c>
      <c r="E77" s="538">
        <v>7.0000000000000007E-2</v>
      </c>
      <c r="F77" s="538">
        <v>0.03</v>
      </c>
      <c r="G77" s="538">
        <v>0.05</v>
      </c>
      <c r="H77" s="538">
        <v>4.4999999999999998E-2</v>
      </c>
      <c r="I77" s="538">
        <v>0.01</v>
      </c>
      <c r="J77" s="538">
        <v>5.0000000000000001E-3</v>
      </c>
      <c r="K77" s="538"/>
      <c r="L77" s="211">
        <f t="shared" si="18"/>
        <v>0.45499999999999996</v>
      </c>
      <c r="M77" s="211">
        <f t="shared" si="19"/>
        <v>0.08</v>
      </c>
      <c r="N77" s="211">
        <f t="shared" si="20"/>
        <v>3.4999999999999996E-2</v>
      </c>
      <c r="O77" s="211">
        <f t="shared" si="21"/>
        <v>0.43</v>
      </c>
      <c r="P77" s="241">
        <f t="shared" si="22"/>
        <v>1</v>
      </c>
      <c r="Q77" s="538"/>
      <c r="R77" s="539">
        <f t="shared" si="23"/>
        <v>0.89000000000000012</v>
      </c>
      <c r="S77" s="539">
        <f t="shared" si="24"/>
        <v>0.11</v>
      </c>
    </row>
    <row r="78" spans="1:19" x14ac:dyDescent="0.25">
      <c r="A78" s="84">
        <v>108</v>
      </c>
      <c r="B78" s="537" t="s">
        <v>486</v>
      </c>
      <c r="C78" s="538">
        <v>0.29799999999999999</v>
      </c>
      <c r="D78" s="538">
        <v>0.378</v>
      </c>
      <c r="E78" s="538">
        <v>0.14199999999999999</v>
      </c>
      <c r="F78" s="538">
        <v>7.1999999999999995E-2</v>
      </c>
      <c r="G78" s="538">
        <v>0.03</v>
      </c>
      <c r="H78" s="538">
        <v>4.7E-2</v>
      </c>
      <c r="I78" s="538">
        <v>1.6E-2</v>
      </c>
      <c r="J78" s="538">
        <v>8.0000000000000002E-3</v>
      </c>
      <c r="K78" s="538"/>
      <c r="L78" s="211">
        <f t="shared" si="18"/>
        <v>0.42499999999999999</v>
      </c>
      <c r="M78" s="211">
        <f t="shared" si="19"/>
        <v>0.15799999999999997</v>
      </c>
      <c r="N78" s="211">
        <f t="shared" si="20"/>
        <v>7.9999999999999988E-2</v>
      </c>
      <c r="O78" s="211">
        <f t="shared" si="21"/>
        <v>0.32799999999999996</v>
      </c>
      <c r="P78" s="241">
        <f t="shared" si="22"/>
        <v>0.99099999999999988</v>
      </c>
      <c r="Q78" s="538"/>
      <c r="R78" s="539">
        <f t="shared" si="23"/>
        <v>0.8899999999999999</v>
      </c>
      <c r="S78" s="539">
        <f t="shared" si="24"/>
        <v>0.10100000000000001</v>
      </c>
    </row>
    <row r="79" spans="1:19" x14ac:dyDescent="0.25">
      <c r="A79" s="84">
        <v>90</v>
      </c>
      <c r="B79" s="537" t="s">
        <v>487</v>
      </c>
      <c r="C79" s="538">
        <v>0.33029999999999998</v>
      </c>
      <c r="D79" s="538">
        <v>0.3286</v>
      </c>
      <c r="E79" s="538">
        <v>0.1656</v>
      </c>
      <c r="F79" s="538">
        <v>6.2799999999999995E-2</v>
      </c>
      <c r="G79" s="538">
        <v>0.04</v>
      </c>
      <c r="H79" s="538">
        <v>3.9699999999999999E-2</v>
      </c>
      <c r="I79" s="538">
        <v>2.06E-2</v>
      </c>
      <c r="J79" s="538">
        <v>8.3999999999999995E-3</v>
      </c>
      <c r="K79" s="538"/>
      <c r="L79" s="211">
        <f t="shared" si="18"/>
        <v>0.36830000000000002</v>
      </c>
      <c r="M79" s="211">
        <f t="shared" si="19"/>
        <v>0.1862</v>
      </c>
      <c r="N79" s="211">
        <f t="shared" si="20"/>
        <v>7.1199999999999999E-2</v>
      </c>
      <c r="O79" s="211">
        <f t="shared" si="21"/>
        <v>0.37029999999999996</v>
      </c>
      <c r="P79" s="241">
        <f t="shared" si="22"/>
        <v>0.996</v>
      </c>
      <c r="Q79" s="538"/>
      <c r="R79" s="539">
        <f t="shared" si="23"/>
        <v>0.88729999999999998</v>
      </c>
      <c r="S79" s="539">
        <f t="shared" si="24"/>
        <v>0.1087</v>
      </c>
    </row>
    <row r="80" spans="1:19" x14ac:dyDescent="0.25">
      <c r="A80" s="84">
        <v>15</v>
      </c>
      <c r="B80" s="537" t="s">
        <v>488</v>
      </c>
      <c r="C80" s="538">
        <v>0.52800000000000002</v>
      </c>
      <c r="D80" s="538">
        <v>0.19359999999999999</v>
      </c>
      <c r="E80" s="538">
        <v>0.1232</v>
      </c>
      <c r="F80" s="538">
        <v>3.5200000000000002E-2</v>
      </c>
      <c r="G80" s="538">
        <v>7.0000000000000007E-2</v>
      </c>
      <c r="H80" s="538">
        <v>2.64E-2</v>
      </c>
      <c r="I80" s="538">
        <v>1.6799999999999999E-2</v>
      </c>
      <c r="J80" s="538">
        <v>4.7999999999999996E-3</v>
      </c>
      <c r="K80" s="538"/>
      <c r="L80" s="211">
        <f t="shared" si="18"/>
        <v>0.22</v>
      </c>
      <c r="M80" s="211">
        <f t="shared" si="19"/>
        <v>0.14000000000000001</v>
      </c>
      <c r="N80" s="211">
        <f t="shared" si="20"/>
        <v>0.04</v>
      </c>
      <c r="O80" s="211">
        <f t="shared" si="21"/>
        <v>0.59800000000000009</v>
      </c>
      <c r="P80" s="241">
        <f t="shared" si="22"/>
        <v>0.998</v>
      </c>
      <c r="Q80" s="538"/>
      <c r="R80" s="539">
        <f t="shared" si="23"/>
        <v>0.88</v>
      </c>
      <c r="S80" s="539">
        <f t="shared" si="24"/>
        <v>0.11800000000000001</v>
      </c>
    </row>
    <row r="81" spans="1:19" x14ac:dyDescent="0.25">
      <c r="A81" s="84">
        <v>110</v>
      </c>
      <c r="B81" s="537" t="s">
        <v>489</v>
      </c>
      <c r="C81" s="538">
        <v>0.29499999999999998</v>
      </c>
      <c r="D81" s="538">
        <v>0.308</v>
      </c>
      <c r="E81" s="538">
        <v>0.20699999999999999</v>
      </c>
      <c r="F81" s="538">
        <v>6.3E-2</v>
      </c>
      <c r="G81" s="538">
        <v>0.04</v>
      </c>
      <c r="H81" s="538">
        <v>4.4999999999999998E-2</v>
      </c>
      <c r="I81" s="538">
        <v>0.03</v>
      </c>
      <c r="J81" s="538">
        <v>8.9999999999999993E-3</v>
      </c>
      <c r="K81" s="538"/>
      <c r="L81" s="211">
        <f t="shared" si="18"/>
        <v>0.35299999999999998</v>
      </c>
      <c r="M81" s="211">
        <f t="shared" si="19"/>
        <v>0.23699999999999999</v>
      </c>
      <c r="N81" s="211">
        <f t="shared" si="20"/>
        <v>7.1999999999999995E-2</v>
      </c>
      <c r="O81" s="211">
        <f t="shared" si="21"/>
        <v>0.33499999999999996</v>
      </c>
      <c r="P81" s="241">
        <f t="shared" si="22"/>
        <v>0.99699999999999989</v>
      </c>
      <c r="Q81" s="538"/>
      <c r="R81" s="539">
        <f t="shared" si="23"/>
        <v>0.873</v>
      </c>
      <c r="S81" s="539">
        <f t="shared" si="24"/>
        <v>0.12399999999999999</v>
      </c>
    </row>
    <row r="82" spans="1:19" x14ac:dyDescent="0.25">
      <c r="A82" s="84">
        <v>47</v>
      </c>
      <c r="B82" s="537" t="s">
        <v>490</v>
      </c>
      <c r="C82" s="538">
        <v>0.4264</v>
      </c>
      <c r="D82" s="538">
        <v>0.28860000000000002</v>
      </c>
      <c r="E82" s="538">
        <v>0.1119</v>
      </c>
      <c r="F82" s="538">
        <v>4.4999999999999998E-2</v>
      </c>
      <c r="G82" s="538">
        <v>0.06</v>
      </c>
      <c r="H82" s="538">
        <v>4.24E-2</v>
      </c>
      <c r="I82" s="538">
        <v>1.6400000000000001E-2</v>
      </c>
      <c r="J82" s="538">
        <v>6.7000000000000002E-3</v>
      </c>
      <c r="K82" s="538"/>
      <c r="L82" s="211">
        <f t="shared" si="18"/>
        <v>0.33100000000000002</v>
      </c>
      <c r="M82" s="211">
        <f t="shared" si="19"/>
        <v>0.1283</v>
      </c>
      <c r="N82" s="211">
        <f t="shared" si="20"/>
        <v>5.1699999999999996E-2</v>
      </c>
      <c r="O82" s="211">
        <f t="shared" si="21"/>
        <v>0.4864</v>
      </c>
      <c r="P82" s="241">
        <f t="shared" si="22"/>
        <v>0.99740000000000006</v>
      </c>
      <c r="Q82" s="538"/>
      <c r="R82" s="539">
        <f t="shared" si="23"/>
        <v>0.87190000000000012</v>
      </c>
      <c r="S82" s="539">
        <f t="shared" si="24"/>
        <v>0.1255</v>
      </c>
    </row>
    <row r="83" spans="1:19" x14ac:dyDescent="0.25">
      <c r="A83" s="84">
        <v>94</v>
      </c>
      <c r="B83" s="537" t="s">
        <v>491</v>
      </c>
      <c r="C83" s="538">
        <v>0.32</v>
      </c>
      <c r="D83" s="538">
        <v>0.34</v>
      </c>
      <c r="E83" s="538">
        <v>0.15</v>
      </c>
      <c r="F83" s="538">
        <v>0.05</v>
      </c>
      <c r="G83" s="538">
        <v>0.05</v>
      </c>
      <c r="H83" s="538">
        <v>0.06</v>
      </c>
      <c r="I83" s="538">
        <v>0.02</v>
      </c>
      <c r="J83" s="538">
        <v>0.01</v>
      </c>
      <c r="K83" s="538"/>
      <c r="L83" s="211">
        <f t="shared" si="18"/>
        <v>0.4</v>
      </c>
      <c r="M83" s="211">
        <f t="shared" si="19"/>
        <v>0.16999999999999998</v>
      </c>
      <c r="N83" s="211">
        <f t="shared" si="20"/>
        <v>6.0000000000000005E-2</v>
      </c>
      <c r="O83" s="211">
        <f t="shared" si="21"/>
        <v>0.37</v>
      </c>
      <c r="P83" s="241">
        <f t="shared" si="22"/>
        <v>1</v>
      </c>
      <c r="Q83" s="538"/>
      <c r="R83" s="539">
        <f t="shared" si="23"/>
        <v>0.8600000000000001</v>
      </c>
      <c r="S83" s="539">
        <f t="shared" si="24"/>
        <v>0.14000000000000001</v>
      </c>
    </row>
    <row r="84" spans="1:19" x14ac:dyDescent="0.25">
      <c r="A84" s="84">
        <v>116</v>
      </c>
      <c r="B84" s="537" t="s">
        <v>492</v>
      </c>
      <c r="C84" s="538">
        <v>0.28000000000000003</v>
      </c>
      <c r="D84" s="538">
        <v>0.37</v>
      </c>
      <c r="E84" s="538">
        <v>0.14000000000000001</v>
      </c>
      <c r="F84" s="538">
        <v>7.0000000000000007E-2</v>
      </c>
      <c r="G84" s="538">
        <v>0.05</v>
      </c>
      <c r="H84" s="538">
        <v>0.06</v>
      </c>
      <c r="I84" s="538">
        <v>0.02</v>
      </c>
      <c r="J84" s="538">
        <v>0.01</v>
      </c>
      <c r="K84" s="538"/>
      <c r="L84" s="211">
        <f t="shared" si="18"/>
        <v>0.43</v>
      </c>
      <c r="M84" s="211">
        <f t="shared" si="19"/>
        <v>0.16</v>
      </c>
      <c r="N84" s="211">
        <f t="shared" si="20"/>
        <v>0.08</v>
      </c>
      <c r="O84" s="211">
        <f t="shared" si="21"/>
        <v>0.33</v>
      </c>
      <c r="P84" s="241">
        <f t="shared" si="22"/>
        <v>1</v>
      </c>
      <c r="Q84" s="538"/>
      <c r="R84" s="539">
        <f t="shared" si="23"/>
        <v>0.8600000000000001</v>
      </c>
      <c r="S84" s="539">
        <f t="shared" si="24"/>
        <v>0.14000000000000001</v>
      </c>
    </row>
    <row r="85" spans="1:19" x14ac:dyDescent="0.25">
      <c r="A85" s="84">
        <v>118</v>
      </c>
      <c r="B85" s="537" t="s">
        <v>493</v>
      </c>
      <c r="C85" s="538">
        <v>0.28000000000000003</v>
      </c>
      <c r="D85" s="538">
        <v>0.35</v>
      </c>
      <c r="E85" s="538">
        <v>0.16</v>
      </c>
      <c r="F85" s="538">
        <v>7.0000000000000007E-2</v>
      </c>
      <c r="G85" s="538">
        <v>0.05</v>
      </c>
      <c r="H85" s="538">
        <v>0.06</v>
      </c>
      <c r="I85" s="538">
        <v>0.02</v>
      </c>
      <c r="J85" s="538">
        <v>0.01</v>
      </c>
      <c r="K85" s="538"/>
      <c r="L85" s="211">
        <f t="shared" si="18"/>
        <v>0.41</v>
      </c>
      <c r="M85" s="211">
        <f t="shared" si="19"/>
        <v>0.18</v>
      </c>
      <c r="N85" s="211">
        <f t="shared" si="20"/>
        <v>0.08</v>
      </c>
      <c r="O85" s="211">
        <f t="shared" si="21"/>
        <v>0.33</v>
      </c>
      <c r="P85" s="241">
        <f t="shared" si="22"/>
        <v>1</v>
      </c>
      <c r="Q85" s="538"/>
      <c r="R85" s="539">
        <f t="shared" si="23"/>
        <v>0.8600000000000001</v>
      </c>
      <c r="S85" s="539">
        <f t="shared" si="24"/>
        <v>0.14000000000000001</v>
      </c>
    </row>
    <row r="86" spans="1:19" x14ac:dyDescent="0.25">
      <c r="A86" s="84">
        <v>58</v>
      </c>
      <c r="B86" s="537" t="s">
        <v>494</v>
      </c>
      <c r="C86" s="538">
        <v>0.39</v>
      </c>
      <c r="D86" s="538">
        <v>0.32</v>
      </c>
      <c r="E86" s="538">
        <v>0.12</v>
      </c>
      <c r="F86" s="538">
        <v>0.03</v>
      </c>
      <c r="G86" s="538">
        <v>0.06</v>
      </c>
      <c r="H86" s="538">
        <v>0.05</v>
      </c>
      <c r="I86" s="538">
        <v>0.02</v>
      </c>
      <c r="J86" s="538">
        <v>0.01</v>
      </c>
      <c r="K86" s="538"/>
      <c r="L86" s="211">
        <f t="shared" si="18"/>
        <v>0.37</v>
      </c>
      <c r="M86" s="211">
        <f t="shared" si="19"/>
        <v>0.13999999999999999</v>
      </c>
      <c r="N86" s="211">
        <f t="shared" si="20"/>
        <v>0.04</v>
      </c>
      <c r="O86" s="211">
        <f t="shared" si="21"/>
        <v>0.45</v>
      </c>
      <c r="P86" s="241">
        <f t="shared" si="22"/>
        <v>1</v>
      </c>
      <c r="Q86" s="538"/>
      <c r="R86" s="539">
        <f t="shared" si="23"/>
        <v>0.86</v>
      </c>
      <c r="S86" s="539">
        <f t="shared" si="24"/>
        <v>0.14000000000000001</v>
      </c>
    </row>
    <row r="87" spans="1:19" x14ac:dyDescent="0.25">
      <c r="A87" s="84">
        <v>72</v>
      </c>
      <c r="B87" s="537" t="s">
        <v>495</v>
      </c>
      <c r="C87" s="538">
        <v>0.36199999999999999</v>
      </c>
      <c r="D87" s="538">
        <v>0.39800000000000002</v>
      </c>
      <c r="E87" s="538">
        <v>6.6000000000000003E-2</v>
      </c>
      <c r="F87" s="538">
        <v>2.9000000000000001E-2</v>
      </c>
      <c r="G87" s="538">
        <v>0.06</v>
      </c>
      <c r="H87" s="538">
        <v>6.8000000000000005E-2</v>
      </c>
      <c r="I87" s="538">
        <v>1.0999999999999999E-2</v>
      </c>
      <c r="J87" s="538">
        <v>5.0000000000000001E-3</v>
      </c>
      <c r="K87" s="538"/>
      <c r="L87" s="211">
        <f t="shared" si="18"/>
        <v>0.46600000000000003</v>
      </c>
      <c r="M87" s="211">
        <f t="shared" si="19"/>
        <v>7.6999999999999999E-2</v>
      </c>
      <c r="N87" s="211">
        <f t="shared" si="20"/>
        <v>3.4000000000000002E-2</v>
      </c>
      <c r="O87" s="211">
        <f t="shared" si="21"/>
        <v>0.42199999999999999</v>
      </c>
      <c r="P87" s="241">
        <f t="shared" si="22"/>
        <v>0.99900000000000011</v>
      </c>
      <c r="Q87" s="538"/>
      <c r="R87" s="539">
        <f t="shared" si="23"/>
        <v>0.85500000000000009</v>
      </c>
      <c r="S87" s="539">
        <f t="shared" si="24"/>
        <v>0.14400000000000002</v>
      </c>
    </row>
    <row r="88" spans="1:19" x14ac:dyDescent="0.25">
      <c r="A88" s="84">
        <v>60</v>
      </c>
      <c r="B88" s="537" t="s">
        <v>496</v>
      </c>
      <c r="C88" s="538">
        <v>0.39</v>
      </c>
      <c r="D88" s="538">
        <v>0.36</v>
      </c>
      <c r="E88" s="538">
        <v>7.5999999999999998E-2</v>
      </c>
      <c r="F88" s="538">
        <v>2.5000000000000001E-2</v>
      </c>
      <c r="G88" s="538">
        <v>7.0000000000000007E-2</v>
      </c>
      <c r="H88" s="538">
        <v>0.06</v>
      </c>
      <c r="I88" s="538">
        <v>1.4E-2</v>
      </c>
      <c r="J88" s="538">
        <v>5.0000000000000001E-3</v>
      </c>
      <c r="K88" s="538"/>
      <c r="L88" s="211">
        <f t="shared" si="18"/>
        <v>0.42</v>
      </c>
      <c r="M88" s="211">
        <f t="shared" si="19"/>
        <v>0.09</v>
      </c>
      <c r="N88" s="211">
        <f t="shared" si="20"/>
        <v>3.0000000000000002E-2</v>
      </c>
      <c r="O88" s="211">
        <f t="shared" si="21"/>
        <v>0.46</v>
      </c>
      <c r="P88" s="241">
        <f t="shared" si="22"/>
        <v>1</v>
      </c>
      <c r="Q88" s="538"/>
      <c r="R88" s="539">
        <f t="shared" si="23"/>
        <v>0.85099999999999998</v>
      </c>
      <c r="S88" s="539">
        <f t="shared" si="24"/>
        <v>0.14900000000000002</v>
      </c>
    </row>
    <row r="89" spans="1:19" x14ac:dyDescent="0.25">
      <c r="A89" s="84">
        <v>83</v>
      </c>
      <c r="B89" s="537" t="s">
        <v>497</v>
      </c>
      <c r="C89" s="538">
        <v>0.34799999999999998</v>
      </c>
      <c r="D89" s="538">
        <v>0.32300000000000001</v>
      </c>
      <c r="E89" s="538">
        <v>0.11899999999999999</v>
      </c>
      <c r="F89" s="538">
        <v>0.06</v>
      </c>
      <c r="G89" s="538">
        <v>0.06</v>
      </c>
      <c r="H89" s="538">
        <v>5.7000000000000002E-2</v>
      </c>
      <c r="I89" s="538">
        <v>2.1000000000000001E-2</v>
      </c>
      <c r="J89" s="538">
        <v>0.01</v>
      </c>
      <c r="K89" s="538"/>
      <c r="L89" s="211">
        <f t="shared" si="18"/>
        <v>0.38</v>
      </c>
      <c r="M89" s="211">
        <f t="shared" si="19"/>
        <v>0.13999999999999999</v>
      </c>
      <c r="N89" s="211">
        <f t="shared" si="20"/>
        <v>6.9999999999999993E-2</v>
      </c>
      <c r="O89" s="211">
        <f t="shared" si="21"/>
        <v>0.40799999999999997</v>
      </c>
      <c r="P89" s="241">
        <f t="shared" si="22"/>
        <v>0.998</v>
      </c>
      <c r="Q89" s="538"/>
      <c r="R89" s="539">
        <f t="shared" si="23"/>
        <v>0.85000000000000009</v>
      </c>
      <c r="S89" s="539">
        <f t="shared" si="24"/>
        <v>0.14799999999999999</v>
      </c>
    </row>
    <row r="90" spans="1:19" x14ac:dyDescent="0.25">
      <c r="A90" s="84">
        <v>86</v>
      </c>
      <c r="B90" s="537" t="s">
        <v>498</v>
      </c>
      <c r="C90" s="538">
        <v>0.34100000000000003</v>
      </c>
      <c r="D90" s="538">
        <v>0.312</v>
      </c>
      <c r="E90" s="538">
        <v>0.14499999999999999</v>
      </c>
      <c r="F90" s="538">
        <v>5.1999999999999998E-2</v>
      </c>
      <c r="G90" s="538">
        <v>0.06</v>
      </c>
      <c r="H90" s="538">
        <v>5.5E-2</v>
      </c>
      <c r="I90" s="538">
        <v>2.5999999999999999E-2</v>
      </c>
      <c r="J90" s="538">
        <v>8.9999999999999993E-3</v>
      </c>
      <c r="K90" s="538"/>
      <c r="L90" s="211">
        <f t="shared" si="18"/>
        <v>0.36699999999999999</v>
      </c>
      <c r="M90" s="211">
        <f t="shared" si="19"/>
        <v>0.17099999999999999</v>
      </c>
      <c r="N90" s="211">
        <f t="shared" si="20"/>
        <v>6.0999999999999999E-2</v>
      </c>
      <c r="O90" s="211">
        <f t="shared" si="21"/>
        <v>0.40100000000000002</v>
      </c>
      <c r="P90" s="241">
        <f t="shared" si="22"/>
        <v>1</v>
      </c>
      <c r="Q90" s="538"/>
      <c r="R90" s="539">
        <f t="shared" si="23"/>
        <v>0.85000000000000009</v>
      </c>
      <c r="S90" s="539">
        <f t="shared" si="24"/>
        <v>0.15</v>
      </c>
    </row>
    <row r="91" spans="1:19" x14ac:dyDescent="0.25">
      <c r="A91" s="84">
        <v>89</v>
      </c>
      <c r="B91" s="537" t="s">
        <v>499</v>
      </c>
      <c r="C91" s="538">
        <v>0.33200000000000002</v>
      </c>
      <c r="D91" s="538">
        <v>0.41599999999999998</v>
      </c>
      <c r="E91" s="538">
        <v>6.8000000000000005E-2</v>
      </c>
      <c r="F91" s="538">
        <v>3.4000000000000002E-2</v>
      </c>
      <c r="G91" s="538">
        <v>0.05</v>
      </c>
      <c r="H91" s="538">
        <v>7.3999999999999996E-2</v>
      </c>
      <c r="I91" s="538">
        <v>1.2E-2</v>
      </c>
      <c r="J91" s="538">
        <v>6.0000000000000001E-3</v>
      </c>
      <c r="K91" s="538"/>
      <c r="L91" s="211">
        <f t="shared" si="18"/>
        <v>0.49</v>
      </c>
      <c r="M91" s="211">
        <f t="shared" si="19"/>
        <v>0.08</v>
      </c>
      <c r="N91" s="211">
        <f t="shared" si="20"/>
        <v>0.04</v>
      </c>
      <c r="O91" s="211">
        <f t="shared" si="21"/>
        <v>0.38200000000000001</v>
      </c>
      <c r="P91" s="241">
        <f t="shared" si="22"/>
        <v>0.99199999999999999</v>
      </c>
      <c r="Q91" s="538"/>
      <c r="R91" s="539">
        <f t="shared" si="23"/>
        <v>0.85000000000000009</v>
      </c>
      <c r="S91" s="539">
        <f t="shared" si="24"/>
        <v>0.14200000000000002</v>
      </c>
    </row>
    <row r="92" spans="1:19" x14ac:dyDescent="0.25">
      <c r="A92" s="84">
        <v>92</v>
      </c>
      <c r="B92" s="537" t="s">
        <v>500</v>
      </c>
      <c r="C92" s="538">
        <v>0.32300000000000001</v>
      </c>
      <c r="D92" s="538">
        <v>0.30599999999999999</v>
      </c>
      <c r="E92" s="538">
        <v>0.153</v>
      </c>
      <c r="F92" s="538">
        <v>6.8000000000000005E-2</v>
      </c>
      <c r="G92" s="538">
        <v>0.05</v>
      </c>
      <c r="H92" s="538">
        <v>5.3999999999999999E-2</v>
      </c>
      <c r="I92" s="538">
        <v>2.7E-2</v>
      </c>
      <c r="J92" s="538">
        <v>1.2E-2</v>
      </c>
      <c r="K92" s="538"/>
      <c r="L92" s="211">
        <f t="shared" si="18"/>
        <v>0.36</v>
      </c>
      <c r="M92" s="211">
        <f t="shared" si="19"/>
        <v>0.18</v>
      </c>
      <c r="N92" s="211">
        <f t="shared" si="20"/>
        <v>0.08</v>
      </c>
      <c r="O92" s="211">
        <f t="shared" si="21"/>
        <v>0.373</v>
      </c>
      <c r="P92" s="241">
        <f t="shared" si="22"/>
        <v>0.99299999999999999</v>
      </c>
      <c r="Q92" s="538"/>
      <c r="R92" s="539">
        <f t="shared" si="23"/>
        <v>0.85000000000000009</v>
      </c>
      <c r="S92" s="539">
        <f t="shared" si="24"/>
        <v>0.14300000000000002</v>
      </c>
    </row>
    <row r="93" spans="1:19" x14ac:dyDescent="0.25">
      <c r="A93" s="84">
        <v>98</v>
      </c>
      <c r="B93" s="537" t="s">
        <v>501</v>
      </c>
      <c r="C93" s="538">
        <v>0.31</v>
      </c>
      <c r="D93" s="538">
        <v>0.32</v>
      </c>
      <c r="E93" s="538">
        <v>0.15</v>
      </c>
      <c r="F93" s="538">
        <v>7.0000000000000007E-2</v>
      </c>
      <c r="G93" s="538">
        <v>0.06</v>
      </c>
      <c r="H93" s="538">
        <v>0.06</v>
      </c>
      <c r="I93" s="538">
        <v>0.02</v>
      </c>
      <c r="J93" s="538">
        <v>0.01</v>
      </c>
      <c r="K93" s="538"/>
      <c r="L93" s="211">
        <f t="shared" si="18"/>
        <v>0.38</v>
      </c>
      <c r="M93" s="211">
        <f t="shared" si="19"/>
        <v>0.16999999999999998</v>
      </c>
      <c r="N93" s="211">
        <f t="shared" si="20"/>
        <v>0.08</v>
      </c>
      <c r="O93" s="211">
        <f t="shared" si="21"/>
        <v>0.37</v>
      </c>
      <c r="P93" s="241">
        <f t="shared" si="22"/>
        <v>1</v>
      </c>
      <c r="Q93" s="538"/>
      <c r="R93" s="539">
        <f t="shared" si="23"/>
        <v>0.85000000000000009</v>
      </c>
      <c r="S93" s="539">
        <f t="shared" si="24"/>
        <v>0.15</v>
      </c>
    </row>
    <row r="94" spans="1:19" x14ac:dyDescent="0.25">
      <c r="A94" s="84">
        <v>105</v>
      </c>
      <c r="B94" s="537" t="s">
        <v>502</v>
      </c>
      <c r="C94" s="538">
        <v>0.3</v>
      </c>
      <c r="D94" s="538">
        <v>0.34</v>
      </c>
      <c r="E94" s="538">
        <v>0.15</v>
      </c>
      <c r="F94" s="538">
        <v>0.06</v>
      </c>
      <c r="G94" s="538">
        <v>0.05</v>
      </c>
      <c r="H94" s="538">
        <v>0.06</v>
      </c>
      <c r="I94" s="538">
        <v>0.03</v>
      </c>
      <c r="J94" s="538">
        <v>0.01</v>
      </c>
      <c r="K94" s="538"/>
      <c r="L94" s="211">
        <f t="shared" si="18"/>
        <v>0.4</v>
      </c>
      <c r="M94" s="211">
        <f t="shared" si="19"/>
        <v>0.18</v>
      </c>
      <c r="N94" s="211">
        <f t="shared" si="20"/>
        <v>6.9999999999999993E-2</v>
      </c>
      <c r="O94" s="211">
        <f t="shared" si="21"/>
        <v>0.35</v>
      </c>
      <c r="P94" s="241">
        <f t="shared" si="22"/>
        <v>1</v>
      </c>
      <c r="Q94" s="538"/>
      <c r="R94" s="539">
        <f t="shared" si="23"/>
        <v>0.85000000000000009</v>
      </c>
      <c r="S94" s="539">
        <f t="shared" si="24"/>
        <v>0.15000000000000002</v>
      </c>
    </row>
    <row r="95" spans="1:19" x14ac:dyDescent="0.25">
      <c r="A95" s="84">
        <v>117</v>
      </c>
      <c r="B95" s="537" t="s">
        <v>503</v>
      </c>
      <c r="C95" s="538">
        <v>0.28000000000000003</v>
      </c>
      <c r="D95" s="538">
        <v>0.374</v>
      </c>
      <c r="E95" s="538">
        <v>0.128</v>
      </c>
      <c r="F95" s="538">
        <v>6.8000000000000005E-2</v>
      </c>
      <c r="G95" s="538">
        <v>0.05</v>
      </c>
      <c r="H95" s="538">
        <v>6.6000000000000003E-2</v>
      </c>
      <c r="I95" s="538">
        <v>2.1999999999999999E-2</v>
      </c>
      <c r="J95" s="538">
        <v>1.2E-2</v>
      </c>
      <c r="K95" s="538"/>
      <c r="L95" s="211">
        <f t="shared" si="18"/>
        <v>0.44</v>
      </c>
      <c r="M95" s="211">
        <f t="shared" si="19"/>
        <v>0.15</v>
      </c>
      <c r="N95" s="211">
        <f t="shared" si="20"/>
        <v>0.08</v>
      </c>
      <c r="O95" s="211">
        <f t="shared" si="21"/>
        <v>0.33</v>
      </c>
      <c r="P95" s="241">
        <f t="shared" si="22"/>
        <v>1</v>
      </c>
      <c r="Q95" s="538"/>
      <c r="R95" s="539">
        <f t="shared" si="23"/>
        <v>0.85000000000000009</v>
      </c>
      <c r="S95" s="539">
        <f t="shared" si="24"/>
        <v>0.15000000000000002</v>
      </c>
    </row>
    <row r="96" spans="1:19" x14ac:dyDescent="0.25">
      <c r="A96" s="84">
        <v>122</v>
      </c>
      <c r="B96" s="537" t="s">
        <v>504</v>
      </c>
      <c r="C96" s="538">
        <v>0.27</v>
      </c>
      <c r="D96" s="538">
        <v>0.36</v>
      </c>
      <c r="E96" s="538">
        <v>0.15</v>
      </c>
      <c r="F96" s="538">
        <v>7.0000000000000007E-2</v>
      </c>
      <c r="G96" s="538">
        <v>0.05</v>
      </c>
      <c r="H96" s="538">
        <v>0.06</v>
      </c>
      <c r="I96" s="538">
        <v>0.03</v>
      </c>
      <c r="J96" s="538">
        <v>0.01</v>
      </c>
      <c r="K96" s="538"/>
      <c r="L96" s="211">
        <f t="shared" si="18"/>
        <v>0.42</v>
      </c>
      <c r="M96" s="211">
        <f t="shared" si="19"/>
        <v>0.18</v>
      </c>
      <c r="N96" s="211">
        <f t="shared" si="20"/>
        <v>0.08</v>
      </c>
      <c r="O96" s="211">
        <f t="shared" si="21"/>
        <v>0.32</v>
      </c>
      <c r="P96" s="241">
        <f t="shared" si="22"/>
        <v>1</v>
      </c>
      <c r="Q96" s="538"/>
      <c r="R96" s="539">
        <f t="shared" si="23"/>
        <v>0.85000000000000009</v>
      </c>
      <c r="S96" s="539">
        <f t="shared" si="24"/>
        <v>0.15000000000000002</v>
      </c>
    </row>
    <row r="97" spans="1:19" x14ac:dyDescent="0.25">
      <c r="A97" s="84">
        <v>120</v>
      </c>
      <c r="B97" s="537" t="s">
        <v>505</v>
      </c>
      <c r="C97" s="538">
        <v>0.27200000000000002</v>
      </c>
      <c r="D97" s="538">
        <v>0.35699999999999998</v>
      </c>
      <c r="E97" s="538">
        <v>0.153</v>
      </c>
      <c r="F97" s="538">
        <v>6.8000000000000005E-2</v>
      </c>
      <c r="G97" s="538">
        <v>0.04</v>
      </c>
      <c r="H97" s="538">
        <v>6.3E-2</v>
      </c>
      <c r="I97" s="538">
        <v>2.7E-2</v>
      </c>
      <c r="J97" s="538">
        <v>1.2E-2</v>
      </c>
      <c r="K97" s="538"/>
      <c r="L97" s="211">
        <f t="shared" si="18"/>
        <v>0.42</v>
      </c>
      <c r="M97" s="211">
        <f t="shared" si="19"/>
        <v>0.18</v>
      </c>
      <c r="N97" s="211">
        <f t="shared" si="20"/>
        <v>0.08</v>
      </c>
      <c r="O97" s="211">
        <f t="shared" si="21"/>
        <v>0.312</v>
      </c>
      <c r="P97" s="241">
        <f t="shared" si="22"/>
        <v>0.99199999999999999</v>
      </c>
      <c r="Q97" s="538"/>
      <c r="R97" s="539">
        <f t="shared" si="23"/>
        <v>0.85000000000000009</v>
      </c>
      <c r="S97" s="539">
        <f t="shared" si="24"/>
        <v>0.14200000000000002</v>
      </c>
    </row>
    <row r="98" spans="1:19" x14ac:dyDescent="0.25">
      <c r="A98" s="84">
        <v>33</v>
      </c>
      <c r="B98" s="537" t="s">
        <v>506</v>
      </c>
      <c r="C98" s="538">
        <v>0.46800000000000003</v>
      </c>
      <c r="D98" s="538">
        <v>0.27200000000000002</v>
      </c>
      <c r="E98" s="538">
        <v>0.09</v>
      </c>
      <c r="F98" s="538">
        <v>0.02</v>
      </c>
      <c r="G98" s="538">
        <v>0.08</v>
      </c>
      <c r="H98" s="538">
        <v>4.8000000000000001E-2</v>
      </c>
      <c r="I98" s="538">
        <v>1.6E-2</v>
      </c>
      <c r="J98" s="538">
        <v>4.0000000000000001E-3</v>
      </c>
      <c r="K98" s="538"/>
      <c r="L98" s="211">
        <f t="shared" si="18"/>
        <v>0.32</v>
      </c>
      <c r="M98" s="211">
        <f t="shared" si="19"/>
        <v>0.106</v>
      </c>
      <c r="N98" s="211">
        <f t="shared" si="20"/>
        <v>2.4E-2</v>
      </c>
      <c r="O98" s="211">
        <f t="shared" si="21"/>
        <v>0.54800000000000004</v>
      </c>
      <c r="P98" s="241">
        <f t="shared" si="22"/>
        <v>0.998</v>
      </c>
      <c r="Q98" s="538"/>
      <c r="R98" s="539">
        <f t="shared" si="23"/>
        <v>0.85</v>
      </c>
      <c r="S98" s="539">
        <f t="shared" si="24"/>
        <v>0.14800000000000002</v>
      </c>
    </row>
    <row r="99" spans="1:19" x14ac:dyDescent="0.25">
      <c r="A99" s="84">
        <v>59</v>
      </c>
      <c r="B99" s="537" t="s">
        <v>507</v>
      </c>
      <c r="C99" s="538">
        <v>0.39</v>
      </c>
      <c r="D99" s="538">
        <v>0.36</v>
      </c>
      <c r="E99" s="538">
        <v>7.4999999999999997E-2</v>
      </c>
      <c r="F99" s="538">
        <v>2.5000000000000001E-2</v>
      </c>
      <c r="G99" s="538">
        <v>7.0000000000000007E-2</v>
      </c>
      <c r="H99" s="538">
        <v>0.06</v>
      </c>
      <c r="I99" s="538">
        <v>1.4999999999999999E-2</v>
      </c>
      <c r="J99" s="538">
        <v>5.0000000000000001E-3</v>
      </c>
      <c r="K99" s="538"/>
      <c r="L99" s="211">
        <f t="shared" si="18"/>
        <v>0.42</v>
      </c>
      <c r="M99" s="211">
        <f t="shared" si="19"/>
        <v>0.09</v>
      </c>
      <c r="N99" s="211">
        <f t="shared" si="20"/>
        <v>3.0000000000000002E-2</v>
      </c>
      <c r="O99" s="211">
        <f t="shared" si="21"/>
        <v>0.46</v>
      </c>
      <c r="P99" s="241">
        <f t="shared" si="22"/>
        <v>1</v>
      </c>
      <c r="Q99" s="538"/>
      <c r="R99" s="539">
        <f t="shared" si="23"/>
        <v>0.85</v>
      </c>
      <c r="S99" s="539">
        <f t="shared" si="24"/>
        <v>0.15000000000000002</v>
      </c>
    </row>
    <row r="100" spans="1:19" x14ac:dyDescent="0.25">
      <c r="A100" s="84">
        <v>67</v>
      </c>
      <c r="B100" s="537" t="s">
        <v>508</v>
      </c>
      <c r="C100" s="538">
        <v>0.378</v>
      </c>
      <c r="D100" s="538">
        <v>0.32200000000000001</v>
      </c>
      <c r="E100" s="538">
        <v>0.11</v>
      </c>
      <c r="F100" s="538">
        <v>0.04</v>
      </c>
      <c r="G100" s="538">
        <v>0.06</v>
      </c>
      <c r="H100" s="538">
        <v>5.7000000000000002E-2</v>
      </c>
      <c r="I100" s="538">
        <v>0.02</v>
      </c>
      <c r="J100" s="538">
        <v>7.0000000000000001E-3</v>
      </c>
      <c r="K100" s="538"/>
      <c r="L100" s="211">
        <f t="shared" ref="L100:L126" si="25">D100+H100</f>
        <v>0.379</v>
      </c>
      <c r="M100" s="211">
        <f t="shared" ref="M100:M126" si="26">E100 + I100</f>
        <v>0.13</v>
      </c>
      <c r="N100" s="211">
        <f t="shared" ref="N100:N126" si="27">F100 + J100</f>
        <v>4.7E-2</v>
      </c>
      <c r="O100" s="211">
        <f t="shared" ref="O100:O126" si="28">C100 + G100</f>
        <v>0.438</v>
      </c>
      <c r="P100" s="241">
        <f t="shared" ref="P100:P126" si="29">SUM(L100:O100)</f>
        <v>0.99399999999999999</v>
      </c>
      <c r="Q100" s="538"/>
      <c r="R100" s="539">
        <f t="shared" ref="R100:R126" si="30">SUM(C100:F100)</f>
        <v>0.85</v>
      </c>
      <c r="S100" s="539">
        <f t="shared" ref="S100:S126" si="31">SUM(G100:J100)</f>
        <v>0.14399999999999999</v>
      </c>
    </row>
    <row r="101" spans="1:19" x14ac:dyDescent="0.25">
      <c r="A101" s="84">
        <v>69</v>
      </c>
      <c r="B101" s="537" t="s">
        <v>509</v>
      </c>
      <c r="C101" s="538">
        <v>0.374</v>
      </c>
      <c r="D101" s="538">
        <v>0.35699999999999998</v>
      </c>
      <c r="E101" s="538">
        <v>8.5000000000000006E-2</v>
      </c>
      <c r="F101" s="538">
        <v>3.4000000000000002E-2</v>
      </c>
      <c r="G101" s="538">
        <v>0.06</v>
      </c>
      <c r="H101" s="538">
        <v>6.3E-2</v>
      </c>
      <c r="I101" s="538">
        <v>1.4999999999999999E-2</v>
      </c>
      <c r="J101" s="538">
        <v>6.0000000000000001E-3</v>
      </c>
      <c r="K101" s="538"/>
      <c r="L101" s="211">
        <f t="shared" si="25"/>
        <v>0.42</v>
      </c>
      <c r="M101" s="211">
        <f t="shared" si="26"/>
        <v>0.1</v>
      </c>
      <c r="N101" s="211">
        <f t="shared" si="27"/>
        <v>0.04</v>
      </c>
      <c r="O101" s="211">
        <f t="shared" si="28"/>
        <v>0.434</v>
      </c>
      <c r="P101" s="241">
        <f t="shared" si="29"/>
        <v>0.99399999999999999</v>
      </c>
      <c r="Q101" s="538"/>
      <c r="R101" s="539">
        <f t="shared" si="30"/>
        <v>0.85</v>
      </c>
      <c r="S101" s="539">
        <f t="shared" si="31"/>
        <v>0.14400000000000002</v>
      </c>
    </row>
    <row r="102" spans="1:19" x14ac:dyDescent="0.25">
      <c r="A102" s="84">
        <v>74</v>
      </c>
      <c r="B102" s="537" t="s">
        <v>510</v>
      </c>
      <c r="C102" s="538">
        <v>0.36</v>
      </c>
      <c r="D102" s="538">
        <v>0.37</v>
      </c>
      <c r="E102" s="538">
        <v>0.09</v>
      </c>
      <c r="F102" s="538">
        <v>0.03</v>
      </c>
      <c r="G102" s="538">
        <v>0.06</v>
      </c>
      <c r="H102" s="538">
        <v>7.0000000000000007E-2</v>
      </c>
      <c r="I102" s="538">
        <v>0.01</v>
      </c>
      <c r="J102" s="538">
        <v>0.01</v>
      </c>
      <c r="K102" s="538"/>
      <c r="L102" s="211">
        <f t="shared" si="25"/>
        <v>0.44</v>
      </c>
      <c r="M102" s="211">
        <f t="shared" si="26"/>
        <v>9.9999999999999992E-2</v>
      </c>
      <c r="N102" s="211">
        <f t="shared" si="27"/>
        <v>0.04</v>
      </c>
      <c r="O102" s="211">
        <f t="shared" si="28"/>
        <v>0.42</v>
      </c>
      <c r="P102" s="241">
        <f t="shared" si="29"/>
        <v>1</v>
      </c>
      <c r="Q102" s="538"/>
      <c r="R102" s="539">
        <f t="shared" si="30"/>
        <v>0.85</v>
      </c>
      <c r="S102" s="539">
        <f t="shared" si="31"/>
        <v>0.15000000000000002</v>
      </c>
    </row>
    <row r="103" spans="1:19" x14ac:dyDescent="0.25">
      <c r="A103" s="84">
        <v>79</v>
      </c>
      <c r="B103" s="537" t="s">
        <v>511</v>
      </c>
      <c r="C103" s="538">
        <v>0.35</v>
      </c>
      <c r="D103" s="538">
        <v>0.37</v>
      </c>
      <c r="E103" s="538">
        <v>0.09</v>
      </c>
      <c r="F103" s="538">
        <v>0.04</v>
      </c>
      <c r="G103" s="538">
        <v>0.06</v>
      </c>
      <c r="H103" s="538">
        <v>0.06</v>
      </c>
      <c r="I103" s="538">
        <v>0.02</v>
      </c>
      <c r="J103" s="538">
        <v>0.01</v>
      </c>
      <c r="K103" s="538"/>
      <c r="L103" s="211">
        <f t="shared" si="25"/>
        <v>0.43</v>
      </c>
      <c r="M103" s="211">
        <f t="shared" si="26"/>
        <v>0.11</v>
      </c>
      <c r="N103" s="211">
        <f t="shared" si="27"/>
        <v>0.05</v>
      </c>
      <c r="O103" s="211">
        <f t="shared" si="28"/>
        <v>0.41</v>
      </c>
      <c r="P103" s="241">
        <f t="shared" si="29"/>
        <v>1</v>
      </c>
      <c r="Q103" s="538"/>
      <c r="R103" s="539">
        <f t="shared" si="30"/>
        <v>0.85</v>
      </c>
      <c r="S103" s="539">
        <f t="shared" si="31"/>
        <v>0.15</v>
      </c>
    </row>
    <row r="104" spans="1:19" x14ac:dyDescent="0.25">
      <c r="A104" s="84">
        <v>81</v>
      </c>
      <c r="B104" s="537" t="s">
        <v>512</v>
      </c>
      <c r="C104" s="538">
        <v>0.35</v>
      </c>
      <c r="D104" s="538">
        <v>0.38</v>
      </c>
      <c r="E104" s="538">
        <v>0.08</v>
      </c>
      <c r="F104" s="538">
        <v>0.04</v>
      </c>
      <c r="G104" s="538">
        <v>0.06</v>
      </c>
      <c r="H104" s="538">
        <v>7.0000000000000007E-2</v>
      </c>
      <c r="I104" s="538">
        <v>0.01</v>
      </c>
      <c r="J104" s="538">
        <v>0.01</v>
      </c>
      <c r="K104" s="538"/>
      <c r="L104" s="211">
        <f t="shared" si="25"/>
        <v>0.45</v>
      </c>
      <c r="M104" s="211">
        <f t="shared" si="26"/>
        <v>0.09</v>
      </c>
      <c r="N104" s="211">
        <f t="shared" si="27"/>
        <v>0.05</v>
      </c>
      <c r="O104" s="211">
        <f t="shared" si="28"/>
        <v>0.41</v>
      </c>
      <c r="P104" s="241">
        <f t="shared" si="29"/>
        <v>1</v>
      </c>
      <c r="Q104" s="538"/>
      <c r="R104" s="539">
        <f t="shared" si="30"/>
        <v>0.85</v>
      </c>
      <c r="S104" s="539">
        <f t="shared" si="31"/>
        <v>0.15000000000000002</v>
      </c>
    </row>
    <row r="105" spans="1:19" x14ac:dyDescent="0.25">
      <c r="A105" s="84">
        <v>87</v>
      </c>
      <c r="B105" s="537" t="s">
        <v>513</v>
      </c>
      <c r="C105" s="538">
        <v>0.34</v>
      </c>
      <c r="D105" s="538">
        <v>0.37</v>
      </c>
      <c r="E105" s="538">
        <v>0.1</v>
      </c>
      <c r="F105" s="538">
        <v>0.04</v>
      </c>
      <c r="G105" s="538">
        <v>0.06</v>
      </c>
      <c r="H105" s="538">
        <v>6.5000000000000002E-2</v>
      </c>
      <c r="I105" s="538">
        <v>1.7999999999999999E-2</v>
      </c>
      <c r="J105" s="538">
        <v>7.0000000000000001E-3</v>
      </c>
      <c r="K105" s="538"/>
      <c r="L105" s="211">
        <f t="shared" si="25"/>
        <v>0.435</v>
      </c>
      <c r="M105" s="211">
        <f t="shared" si="26"/>
        <v>0.11800000000000001</v>
      </c>
      <c r="N105" s="211">
        <f t="shared" si="27"/>
        <v>4.7E-2</v>
      </c>
      <c r="O105" s="211">
        <f t="shared" si="28"/>
        <v>0.4</v>
      </c>
      <c r="P105" s="241">
        <f t="shared" si="29"/>
        <v>1</v>
      </c>
      <c r="Q105" s="538"/>
      <c r="R105" s="539">
        <f t="shared" si="30"/>
        <v>0.85</v>
      </c>
      <c r="S105" s="539">
        <f t="shared" si="31"/>
        <v>0.15</v>
      </c>
    </row>
    <row r="106" spans="1:19" x14ac:dyDescent="0.25">
      <c r="A106" s="84">
        <v>106</v>
      </c>
      <c r="B106" s="537" t="s">
        <v>514</v>
      </c>
      <c r="C106" s="538">
        <v>0.29920000000000002</v>
      </c>
      <c r="D106" s="538">
        <v>0.31190000000000001</v>
      </c>
      <c r="E106" s="538">
        <v>0.17169999999999999</v>
      </c>
      <c r="F106" s="538">
        <v>6.7199999999999996E-2</v>
      </c>
      <c r="G106" s="538">
        <v>0.05</v>
      </c>
      <c r="H106" s="538">
        <v>5.5100000000000003E-2</v>
      </c>
      <c r="I106" s="538">
        <v>3.0300000000000001E-2</v>
      </c>
      <c r="J106" s="538">
        <v>1.18E-2</v>
      </c>
      <c r="K106" s="538"/>
      <c r="L106" s="211">
        <f t="shared" si="25"/>
        <v>0.36699999999999999</v>
      </c>
      <c r="M106" s="211">
        <f t="shared" si="26"/>
        <v>0.20199999999999999</v>
      </c>
      <c r="N106" s="211">
        <f t="shared" si="27"/>
        <v>7.9000000000000001E-2</v>
      </c>
      <c r="O106" s="211">
        <f t="shared" si="28"/>
        <v>0.34920000000000001</v>
      </c>
      <c r="P106" s="241">
        <f t="shared" si="29"/>
        <v>0.99719999999999986</v>
      </c>
      <c r="Q106" s="538"/>
      <c r="R106" s="539">
        <f t="shared" si="30"/>
        <v>0.85</v>
      </c>
      <c r="S106" s="539">
        <f t="shared" si="31"/>
        <v>0.1472</v>
      </c>
    </row>
    <row r="107" spans="1:19" x14ac:dyDescent="0.25">
      <c r="A107" s="84">
        <v>113</v>
      </c>
      <c r="B107" s="537" t="s">
        <v>515</v>
      </c>
      <c r="C107" s="538">
        <v>0.28999999999999998</v>
      </c>
      <c r="D107" s="538">
        <v>0.36</v>
      </c>
      <c r="E107" s="538">
        <v>0.15</v>
      </c>
      <c r="F107" s="538">
        <v>0.05</v>
      </c>
      <c r="G107" s="538">
        <v>0.05</v>
      </c>
      <c r="H107" s="538">
        <v>0.06</v>
      </c>
      <c r="I107" s="538">
        <v>0.03</v>
      </c>
      <c r="J107" s="538">
        <v>0.01</v>
      </c>
      <c r="K107" s="538"/>
      <c r="L107" s="211">
        <f t="shared" si="25"/>
        <v>0.42</v>
      </c>
      <c r="M107" s="211">
        <f t="shared" si="26"/>
        <v>0.18</v>
      </c>
      <c r="N107" s="211">
        <f t="shared" si="27"/>
        <v>6.0000000000000005E-2</v>
      </c>
      <c r="O107" s="211">
        <f t="shared" si="28"/>
        <v>0.33999999999999997</v>
      </c>
      <c r="P107" s="241">
        <f t="shared" si="29"/>
        <v>1</v>
      </c>
      <c r="Q107" s="538"/>
      <c r="R107" s="539">
        <f t="shared" si="30"/>
        <v>0.85</v>
      </c>
      <c r="S107" s="539">
        <f t="shared" si="31"/>
        <v>0.15000000000000002</v>
      </c>
    </row>
    <row r="108" spans="1:19" x14ac:dyDescent="0.25">
      <c r="A108" s="84">
        <v>99</v>
      </c>
      <c r="B108" s="537" t="s">
        <v>516</v>
      </c>
      <c r="C108" s="538">
        <v>0.31</v>
      </c>
      <c r="D108" s="538">
        <v>0.36</v>
      </c>
      <c r="E108" s="538">
        <v>0.12</v>
      </c>
      <c r="F108" s="538">
        <v>0.06</v>
      </c>
      <c r="G108" s="538">
        <v>0.05</v>
      </c>
      <c r="H108" s="538">
        <v>7.0000000000000007E-2</v>
      </c>
      <c r="I108" s="538">
        <v>0.02</v>
      </c>
      <c r="J108" s="538">
        <v>0.01</v>
      </c>
      <c r="K108" s="538"/>
      <c r="L108" s="211">
        <f t="shared" si="25"/>
        <v>0.43</v>
      </c>
      <c r="M108" s="211">
        <f t="shared" si="26"/>
        <v>0.13999999999999999</v>
      </c>
      <c r="N108" s="211">
        <f t="shared" si="27"/>
        <v>6.9999999999999993E-2</v>
      </c>
      <c r="O108" s="211">
        <f t="shared" si="28"/>
        <v>0.36</v>
      </c>
      <c r="P108" s="241">
        <f t="shared" si="29"/>
        <v>0.99999999999999989</v>
      </c>
      <c r="Q108" s="538"/>
      <c r="R108" s="539">
        <f t="shared" si="30"/>
        <v>0.84999999999999987</v>
      </c>
      <c r="S108" s="539">
        <f t="shared" si="31"/>
        <v>0.15000000000000002</v>
      </c>
    </row>
    <row r="109" spans="1:19" x14ac:dyDescent="0.25">
      <c r="A109" s="84">
        <v>71</v>
      </c>
      <c r="B109" s="537" t="s">
        <v>517</v>
      </c>
      <c r="C109" s="538">
        <v>0.36499999999999999</v>
      </c>
      <c r="D109" s="538">
        <v>0.38200000000000001</v>
      </c>
      <c r="E109" s="538">
        <v>7.6999999999999999E-2</v>
      </c>
      <c r="F109" s="538">
        <v>2.5000000000000001E-2</v>
      </c>
      <c r="G109" s="538">
        <v>0.06</v>
      </c>
      <c r="H109" s="538">
        <v>6.8000000000000005E-2</v>
      </c>
      <c r="I109" s="538">
        <v>1.4E-2</v>
      </c>
      <c r="J109" s="538">
        <v>4.0000000000000001E-3</v>
      </c>
      <c r="K109" s="538"/>
      <c r="L109" s="211">
        <f t="shared" si="25"/>
        <v>0.45</v>
      </c>
      <c r="M109" s="211">
        <f t="shared" si="26"/>
        <v>9.0999999999999998E-2</v>
      </c>
      <c r="N109" s="211">
        <f t="shared" si="27"/>
        <v>2.9000000000000001E-2</v>
      </c>
      <c r="O109" s="211">
        <f t="shared" si="28"/>
        <v>0.42499999999999999</v>
      </c>
      <c r="P109" s="241">
        <f t="shared" si="29"/>
        <v>0.99500000000000011</v>
      </c>
      <c r="Q109" s="538"/>
      <c r="R109" s="539">
        <f t="shared" si="30"/>
        <v>0.84899999999999998</v>
      </c>
      <c r="S109" s="539">
        <f t="shared" si="31"/>
        <v>0.14600000000000002</v>
      </c>
    </row>
    <row r="110" spans="1:19" x14ac:dyDescent="0.25">
      <c r="A110" s="84">
        <v>115</v>
      </c>
      <c r="B110" s="537" t="s">
        <v>518</v>
      </c>
      <c r="C110" s="538">
        <v>0.28499999999999998</v>
      </c>
      <c r="D110" s="538">
        <v>0.318</v>
      </c>
      <c r="E110" s="538">
        <v>0.17599999999999999</v>
      </c>
      <c r="F110" s="538">
        <v>7.0000000000000007E-2</v>
      </c>
      <c r="G110" s="538">
        <v>0.05</v>
      </c>
      <c r="H110" s="538">
        <v>0.06</v>
      </c>
      <c r="I110" s="538">
        <v>0.03</v>
      </c>
      <c r="J110" s="538">
        <v>1.0999999999999999E-2</v>
      </c>
      <c r="K110" s="538"/>
      <c r="L110" s="211">
        <f t="shared" si="25"/>
        <v>0.378</v>
      </c>
      <c r="M110" s="211">
        <f t="shared" si="26"/>
        <v>0.20599999999999999</v>
      </c>
      <c r="N110" s="211">
        <f t="shared" si="27"/>
        <v>8.1000000000000003E-2</v>
      </c>
      <c r="O110" s="211">
        <f t="shared" si="28"/>
        <v>0.33499999999999996</v>
      </c>
      <c r="P110" s="241">
        <f t="shared" si="29"/>
        <v>0.99999999999999989</v>
      </c>
      <c r="Q110" s="538"/>
      <c r="R110" s="539">
        <f t="shared" si="30"/>
        <v>0.84899999999999998</v>
      </c>
      <c r="S110" s="539">
        <f t="shared" si="31"/>
        <v>0.15100000000000002</v>
      </c>
    </row>
    <row r="111" spans="1:19" x14ac:dyDescent="0.25">
      <c r="A111" s="84">
        <v>102</v>
      </c>
      <c r="B111" s="537" t="s">
        <v>519</v>
      </c>
      <c r="C111" s="538">
        <v>0.30599999999999999</v>
      </c>
      <c r="D111" s="538">
        <v>0.31</v>
      </c>
      <c r="E111" s="538">
        <v>0.17</v>
      </c>
      <c r="F111" s="538">
        <v>0.06</v>
      </c>
      <c r="G111" s="538">
        <v>0.05</v>
      </c>
      <c r="H111" s="538">
        <v>0.06</v>
      </c>
      <c r="I111" s="538">
        <v>0.03</v>
      </c>
      <c r="J111" s="538">
        <v>0.01</v>
      </c>
      <c r="K111" s="538"/>
      <c r="L111" s="211">
        <f t="shared" si="25"/>
        <v>0.37</v>
      </c>
      <c r="M111" s="211">
        <f t="shared" si="26"/>
        <v>0.2</v>
      </c>
      <c r="N111" s="211">
        <f t="shared" si="27"/>
        <v>6.9999999999999993E-2</v>
      </c>
      <c r="O111" s="211">
        <f t="shared" si="28"/>
        <v>0.35599999999999998</v>
      </c>
      <c r="P111" s="241">
        <f t="shared" si="29"/>
        <v>0.996</v>
      </c>
      <c r="Q111" s="538"/>
      <c r="R111" s="539">
        <f t="shared" si="30"/>
        <v>0.84600000000000009</v>
      </c>
      <c r="S111" s="539">
        <f t="shared" si="31"/>
        <v>0.15000000000000002</v>
      </c>
    </row>
    <row r="112" spans="1:19" x14ac:dyDescent="0.25">
      <c r="A112" s="84">
        <v>123</v>
      </c>
      <c r="B112" s="537" t="s">
        <v>520</v>
      </c>
      <c r="C112" s="538">
        <v>0.27</v>
      </c>
      <c r="D112" s="538">
        <v>0.33</v>
      </c>
      <c r="E112" s="538">
        <v>0.16</v>
      </c>
      <c r="F112" s="538">
        <v>0.08</v>
      </c>
      <c r="G112" s="538">
        <v>0.05</v>
      </c>
      <c r="H112" s="538">
        <v>7.0000000000000007E-2</v>
      </c>
      <c r="I112" s="538">
        <v>0.03</v>
      </c>
      <c r="J112" s="538">
        <v>0.01</v>
      </c>
      <c r="K112" s="538"/>
      <c r="L112" s="211">
        <f t="shared" si="25"/>
        <v>0.4</v>
      </c>
      <c r="M112" s="211">
        <f t="shared" si="26"/>
        <v>0.19</v>
      </c>
      <c r="N112" s="211">
        <f t="shared" si="27"/>
        <v>0.09</v>
      </c>
      <c r="O112" s="211">
        <f t="shared" si="28"/>
        <v>0.32</v>
      </c>
      <c r="P112" s="241">
        <f t="shared" si="29"/>
        <v>1</v>
      </c>
      <c r="Q112" s="538"/>
      <c r="R112" s="539">
        <f t="shared" si="30"/>
        <v>0.84000000000000008</v>
      </c>
      <c r="S112" s="539">
        <f t="shared" si="31"/>
        <v>0.16000000000000003</v>
      </c>
    </row>
    <row r="113" spans="1:19" x14ac:dyDescent="0.25">
      <c r="A113" s="84">
        <v>29</v>
      </c>
      <c r="B113" s="537" t="s">
        <v>521</v>
      </c>
      <c r="C113" s="538">
        <v>0.47</v>
      </c>
      <c r="D113" s="538">
        <v>0.26</v>
      </c>
      <c r="E113" s="538">
        <v>0.09</v>
      </c>
      <c r="F113" s="538">
        <v>0.02</v>
      </c>
      <c r="G113" s="538">
        <v>0.08</v>
      </c>
      <c r="H113" s="538">
        <v>0.05</v>
      </c>
      <c r="I113" s="538">
        <v>0.02</v>
      </c>
      <c r="J113" s="538">
        <v>0.01</v>
      </c>
      <c r="K113" s="538"/>
      <c r="L113" s="211">
        <f t="shared" si="25"/>
        <v>0.31</v>
      </c>
      <c r="M113" s="211">
        <f t="shared" si="26"/>
        <v>0.11</v>
      </c>
      <c r="N113" s="211">
        <f t="shared" si="27"/>
        <v>0.03</v>
      </c>
      <c r="O113" s="211">
        <f t="shared" si="28"/>
        <v>0.54999999999999993</v>
      </c>
      <c r="P113" s="241">
        <f t="shared" si="29"/>
        <v>0.99999999999999989</v>
      </c>
      <c r="Q113" s="538"/>
      <c r="R113" s="539">
        <f t="shared" si="30"/>
        <v>0.84</v>
      </c>
      <c r="S113" s="539">
        <f t="shared" si="31"/>
        <v>0.16</v>
      </c>
    </row>
    <row r="114" spans="1:19" x14ac:dyDescent="0.25">
      <c r="A114" s="84">
        <v>75</v>
      </c>
      <c r="B114" s="537" t="s">
        <v>522</v>
      </c>
      <c r="C114" s="538">
        <v>0.36</v>
      </c>
      <c r="D114" s="538">
        <v>0.33</v>
      </c>
      <c r="E114" s="538">
        <v>0.11</v>
      </c>
      <c r="F114" s="538">
        <v>0.04</v>
      </c>
      <c r="G114" s="538">
        <v>7.0000000000000007E-2</v>
      </c>
      <c r="H114" s="538">
        <v>0.06</v>
      </c>
      <c r="I114" s="538">
        <v>0.02</v>
      </c>
      <c r="J114" s="538">
        <v>0.01</v>
      </c>
      <c r="K114" s="538"/>
      <c r="L114" s="211">
        <f t="shared" si="25"/>
        <v>0.39</v>
      </c>
      <c r="M114" s="211">
        <f t="shared" si="26"/>
        <v>0.13</v>
      </c>
      <c r="N114" s="211">
        <f t="shared" si="27"/>
        <v>0.05</v>
      </c>
      <c r="O114" s="211">
        <f t="shared" si="28"/>
        <v>0.43</v>
      </c>
      <c r="P114" s="241">
        <f t="shared" si="29"/>
        <v>1</v>
      </c>
      <c r="Q114" s="538"/>
      <c r="R114" s="539">
        <f t="shared" si="30"/>
        <v>0.84</v>
      </c>
      <c r="S114" s="539">
        <f t="shared" si="31"/>
        <v>0.16</v>
      </c>
    </row>
    <row r="115" spans="1:19" x14ac:dyDescent="0.25">
      <c r="A115" s="84">
        <v>82</v>
      </c>
      <c r="B115" s="537" t="s">
        <v>523</v>
      </c>
      <c r="C115" s="538">
        <v>0.35</v>
      </c>
      <c r="D115" s="538">
        <v>0.37</v>
      </c>
      <c r="E115" s="538">
        <v>0.08</v>
      </c>
      <c r="F115" s="538">
        <v>0.04</v>
      </c>
      <c r="G115" s="538">
        <v>0.06</v>
      </c>
      <c r="H115" s="538">
        <v>7.0000000000000007E-2</v>
      </c>
      <c r="I115" s="538">
        <v>0.02</v>
      </c>
      <c r="J115" s="538">
        <v>0.01</v>
      </c>
      <c r="K115" s="538"/>
      <c r="L115" s="211">
        <f t="shared" si="25"/>
        <v>0.44</v>
      </c>
      <c r="M115" s="211">
        <f t="shared" si="26"/>
        <v>0.1</v>
      </c>
      <c r="N115" s="211">
        <f t="shared" si="27"/>
        <v>0.05</v>
      </c>
      <c r="O115" s="211">
        <f t="shared" si="28"/>
        <v>0.41</v>
      </c>
      <c r="P115" s="241">
        <f t="shared" si="29"/>
        <v>1</v>
      </c>
      <c r="Q115" s="538"/>
      <c r="R115" s="539">
        <f t="shared" si="30"/>
        <v>0.84</v>
      </c>
      <c r="S115" s="539">
        <f t="shared" si="31"/>
        <v>0.16</v>
      </c>
    </row>
    <row r="116" spans="1:19" x14ac:dyDescent="0.25">
      <c r="A116" s="84">
        <v>95</v>
      </c>
      <c r="B116" s="537" t="s">
        <v>524</v>
      </c>
      <c r="C116" s="538">
        <v>0.32</v>
      </c>
      <c r="D116" s="538">
        <v>0.37</v>
      </c>
      <c r="E116" s="538">
        <v>0.1</v>
      </c>
      <c r="F116" s="538">
        <v>0.05</v>
      </c>
      <c r="G116" s="538">
        <v>0.06</v>
      </c>
      <c r="H116" s="538">
        <v>7.0000000000000007E-2</v>
      </c>
      <c r="I116" s="538">
        <v>0.02</v>
      </c>
      <c r="J116" s="538">
        <v>0.01</v>
      </c>
      <c r="K116" s="538"/>
      <c r="L116" s="211">
        <f t="shared" si="25"/>
        <v>0.44</v>
      </c>
      <c r="M116" s="211">
        <f t="shared" si="26"/>
        <v>0.12000000000000001</v>
      </c>
      <c r="N116" s="211">
        <f t="shared" si="27"/>
        <v>6.0000000000000005E-2</v>
      </c>
      <c r="O116" s="211">
        <f t="shared" si="28"/>
        <v>0.38</v>
      </c>
      <c r="P116" s="241">
        <f t="shared" si="29"/>
        <v>1</v>
      </c>
      <c r="Q116" s="538"/>
      <c r="R116" s="539">
        <f t="shared" si="30"/>
        <v>0.84</v>
      </c>
      <c r="S116" s="539">
        <f t="shared" si="31"/>
        <v>0.16</v>
      </c>
    </row>
    <row r="117" spans="1:19" x14ac:dyDescent="0.25">
      <c r="A117" s="84">
        <v>97</v>
      </c>
      <c r="B117" s="537" t="s">
        <v>525</v>
      </c>
      <c r="C117" s="538">
        <v>0.31919999999999998</v>
      </c>
      <c r="D117" s="538">
        <v>0.3528</v>
      </c>
      <c r="E117" s="538">
        <v>0.126</v>
      </c>
      <c r="F117" s="538">
        <v>4.2000000000000003E-2</v>
      </c>
      <c r="G117" s="538">
        <v>0.06</v>
      </c>
      <c r="H117" s="538">
        <v>6.7199999999999996E-2</v>
      </c>
      <c r="I117" s="538">
        <v>2.4E-2</v>
      </c>
      <c r="J117" s="538">
        <v>8.0000000000000002E-3</v>
      </c>
      <c r="K117" s="538"/>
      <c r="L117" s="211">
        <f t="shared" si="25"/>
        <v>0.42</v>
      </c>
      <c r="M117" s="211">
        <f t="shared" si="26"/>
        <v>0.15</v>
      </c>
      <c r="N117" s="211">
        <f t="shared" si="27"/>
        <v>0.05</v>
      </c>
      <c r="O117" s="211">
        <f t="shared" si="28"/>
        <v>0.37919999999999998</v>
      </c>
      <c r="P117" s="241">
        <f t="shared" si="29"/>
        <v>0.99919999999999998</v>
      </c>
      <c r="Q117" s="538"/>
      <c r="R117" s="539">
        <f t="shared" si="30"/>
        <v>0.84</v>
      </c>
      <c r="S117" s="539">
        <f t="shared" si="31"/>
        <v>0.15919999999999998</v>
      </c>
    </row>
    <row r="118" spans="1:19" x14ac:dyDescent="0.25">
      <c r="A118" s="84">
        <v>104</v>
      </c>
      <c r="B118" s="537" t="s">
        <v>526</v>
      </c>
      <c r="C118" s="538">
        <v>0.3</v>
      </c>
      <c r="D118" s="538">
        <v>0.37</v>
      </c>
      <c r="E118" s="538">
        <v>0.12</v>
      </c>
      <c r="F118" s="538">
        <v>0.05</v>
      </c>
      <c r="G118" s="538">
        <v>0.06</v>
      </c>
      <c r="H118" s="538">
        <v>7.0000000000000007E-2</v>
      </c>
      <c r="I118" s="538">
        <v>0.02</v>
      </c>
      <c r="J118" s="538">
        <v>4.4999999999999997E-3</v>
      </c>
      <c r="K118" s="538"/>
      <c r="L118" s="211">
        <f t="shared" si="25"/>
        <v>0.44</v>
      </c>
      <c r="M118" s="211">
        <f t="shared" si="26"/>
        <v>0.13999999999999999</v>
      </c>
      <c r="N118" s="211">
        <f t="shared" si="27"/>
        <v>5.45E-2</v>
      </c>
      <c r="O118" s="211">
        <f t="shared" si="28"/>
        <v>0.36</v>
      </c>
      <c r="P118" s="241">
        <f t="shared" si="29"/>
        <v>0.99449999999999994</v>
      </c>
      <c r="Q118" s="538"/>
      <c r="R118" s="539">
        <f t="shared" si="30"/>
        <v>0.84</v>
      </c>
      <c r="S118" s="539">
        <f t="shared" si="31"/>
        <v>0.1545</v>
      </c>
    </row>
    <row r="119" spans="1:19" x14ac:dyDescent="0.25">
      <c r="A119" s="84">
        <v>56</v>
      </c>
      <c r="B119" s="537" t="s">
        <v>527</v>
      </c>
      <c r="C119" s="538">
        <v>0.39500000000000002</v>
      </c>
      <c r="D119" s="538">
        <v>0.35</v>
      </c>
      <c r="E119" s="538">
        <v>6.7000000000000004E-2</v>
      </c>
      <c r="F119" s="538">
        <v>2.5000000000000001E-2</v>
      </c>
      <c r="G119" s="538">
        <v>7.0000000000000007E-2</v>
      </c>
      <c r="H119" s="538">
        <v>7.0000000000000007E-2</v>
      </c>
      <c r="I119" s="538">
        <v>1.2999999999999999E-2</v>
      </c>
      <c r="J119" s="538">
        <v>5.0000000000000001E-3</v>
      </c>
      <c r="K119" s="538"/>
      <c r="L119" s="211">
        <f t="shared" si="25"/>
        <v>0.42</v>
      </c>
      <c r="M119" s="211">
        <f t="shared" si="26"/>
        <v>0.08</v>
      </c>
      <c r="N119" s="211">
        <f t="shared" si="27"/>
        <v>3.0000000000000002E-2</v>
      </c>
      <c r="O119" s="211">
        <f t="shared" si="28"/>
        <v>0.46500000000000002</v>
      </c>
      <c r="P119" s="241">
        <f t="shared" si="29"/>
        <v>0.99500000000000011</v>
      </c>
      <c r="Q119" s="538"/>
      <c r="R119" s="539">
        <f t="shared" si="30"/>
        <v>0.83700000000000008</v>
      </c>
      <c r="S119" s="539">
        <f t="shared" si="31"/>
        <v>0.15800000000000003</v>
      </c>
    </row>
    <row r="120" spans="1:19" x14ac:dyDescent="0.25">
      <c r="A120" s="84">
        <v>62</v>
      </c>
      <c r="B120" s="537" t="s">
        <v>528</v>
      </c>
      <c r="C120" s="538">
        <v>0.38400000000000001</v>
      </c>
      <c r="D120" s="538">
        <v>0.32300000000000001</v>
      </c>
      <c r="E120" s="538">
        <v>9.5000000000000001E-2</v>
      </c>
      <c r="F120" s="538">
        <v>3.2000000000000001E-2</v>
      </c>
      <c r="G120" s="538">
        <v>7.0000000000000007E-2</v>
      </c>
      <c r="H120" s="538">
        <v>6.5000000000000002E-2</v>
      </c>
      <c r="I120" s="538">
        <v>1.7000000000000001E-2</v>
      </c>
      <c r="J120" s="538">
        <v>7.0000000000000001E-3</v>
      </c>
      <c r="K120" s="538"/>
      <c r="L120" s="211">
        <f t="shared" si="25"/>
        <v>0.38800000000000001</v>
      </c>
      <c r="M120" s="211">
        <f t="shared" si="26"/>
        <v>0.112</v>
      </c>
      <c r="N120" s="211">
        <f t="shared" si="27"/>
        <v>3.9E-2</v>
      </c>
      <c r="O120" s="211">
        <f t="shared" si="28"/>
        <v>0.45400000000000001</v>
      </c>
      <c r="P120" s="241">
        <f t="shared" si="29"/>
        <v>0.9930000000000001</v>
      </c>
      <c r="Q120" s="538"/>
      <c r="R120" s="539">
        <f t="shared" si="30"/>
        <v>0.83400000000000007</v>
      </c>
      <c r="S120" s="539">
        <f t="shared" si="31"/>
        <v>0.15900000000000003</v>
      </c>
    </row>
    <row r="121" spans="1:19" x14ac:dyDescent="0.25">
      <c r="A121" s="84">
        <v>100</v>
      </c>
      <c r="B121" s="537" t="s">
        <v>529</v>
      </c>
      <c r="C121" s="538">
        <v>0.31</v>
      </c>
      <c r="D121" s="538">
        <v>0.33</v>
      </c>
      <c r="E121" s="538">
        <v>0.12</v>
      </c>
      <c r="F121" s="538">
        <v>0.06</v>
      </c>
      <c r="G121" s="538">
        <v>7.0000000000000007E-2</v>
      </c>
      <c r="H121" s="538">
        <v>7.0000000000000007E-2</v>
      </c>
      <c r="I121" s="538">
        <v>0.03</v>
      </c>
      <c r="J121" s="538">
        <v>0.01</v>
      </c>
      <c r="K121" s="538"/>
      <c r="L121" s="211">
        <f t="shared" si="25"/>
        <v>0.4</v>
      </c>
      <c r="M121" s="211">
        <f t="shared" si="26"/>
        <v>0.15</v>
      </c>
      <c r="N121" s="211">
        <f t="shared" si="27"/>
        <v>6.9999999999999993E-2</v>
      </c>
      <c r="O121" s="211">
        <f t="shared" si="28"/>
        <v>0.38</v>
      </c>
      <c r="P121" s="241">
        <f t="shared" si="29"/>
        <v>1</v>
      </c>
      <c r="Q121" s="538"/>
      <c r="R121" s="539">
        <f t="shared" si="30"/>
        <v>0.82000000000000006</v>
      </c>
      <c r="S121" s="539">
        <f t="shared" si="31"/>
        <v>0.18000000000000002</v>
      </c>
    </row>
    <row r="122" spans="1:19" x14ac:dyDescent="0.25">
      <c r="A122" s="84">
        <v>42</v>
      </c>
      <c r="B122" s="537" t="s">
        <v>530</v>
      </c>
      <c r="C122" s="538">
        <v>0.44</v>
      </c>
      <c r="D122" s="538">
        <v>0.28000000000000003</v>
      </c>
      <c r="E122" s="538">
        <v>0.08</v>
      </c>
      <c r="F122" s="538">
        <v>0.02</v>
      </c>
      <c r="G122" s="538">
        <v>0.09</v>
      </c>
      <c r="H122" s="538">
        <v>0.06</v>
      </c>
      <c r="I122" s="538">
        <v>0.02</v>
      </c>
      <c r="J122" s="538">
        <v>0.01</v>
      </c>
      <c r="K122" s="538"/>
      <c r="L122" s="211">
        <f t="shared" si="25"/>
        <v>0.34</v>
      </c>
      <c r="M122" s="211">
        <f t="shared" si="26"/>
        <v>0.1</v>
      </c>
      <c r="N122" s="211">
        <f t="shared" si="27"/>
        <v>0.03</v>
      </c>
      <c r="O122" s="211">
        <f t="shared" si="28"/>
        <v>0.53</v>
      </c>
      <c r="P122" s="241">
        <f t="shared" si="29"/>
        <v>1</v>
      </c>
      <c r="Q122" s="538"/>
      <c r="R122" s="539">
        <f t="shared" si="30"/>
        <v>0.82</v>
      </c>
      <c r="S122" s="539">
        <f t="shared" si="31"/>
        <v>0.18</v>
      </c>
    </row>
    <row r="123" spans="1:19" x14ac:dyDescent="0.25">
      <c r="A123" s="84">
        <v>65</v>
      </c>
      <c r="B123" s="537" t="s">
        <v>531</v>
      </c>
      <c r="C123" s="538">
        <v>0.38</v>
      </c>
      <c r="D123" s="538">
        <v>0.32</v>
      </c>
      <c r="E123" s="538">
        <v>0.09</v>
      </c>
      <c r="F123" s="538">
        <v>0.03</v>
      </c>
      <c r="G123" s="538">
        <v>0.09</v>
      </c>
      <c r="H123" s="538">
        <v>0.06</v>
      </c>
      <c r="I123" s="538">
        <v>0.02</v>
      </c>
      <c r="J123" s="538">
        <v>0.01</v>
      </c>
      <c r="K123" s="538"/>
      <c r="L123" s="211">
        <f t="shared" si="25"/>
        <v>0.38</v>
      </c>
      <c r="M123" s="211">
        <f t="shared" si="26"/>
        <v>0.11</v>
      </c>
      <c r="N123" s="211">
        <f t="shared" si="27"/>
        <v>0.04</v>
      </c>
      <c r="O123" s="211">
        <f t="shared" si="28"/>
        <v>0.47</v>
      </c>
      <c r="P123" s="241">
        <f t="shared" si="29"/>
        <v>1</v>
      </c>
      <c r="Q123" s="538"/>
      <c r="R123" s="539">
        <f t="shared" si="30"/>
        <v>0.82</v>
      </c>
      <c r="S123" s="539">
        <f t="shared" si="31"/>
        <v>0.18</v>
      </c>
    </row>
    <row r="124" spans="1:19" x14ac:dyDescent="0.25">
      <c r="A124" s="84">
        <v>80</v>
      </c>
      <c r="B124" s="537" t="s">
        <v>532</v>
      </c>
      <c r="C124" s="538">
        <v>0.35</v>
      </c>
      <c r="D124" s="538">
        <v>0.36</v>
      </c>
      <c r="E124" s="538">
        <v>0.08</v>
      </c>
      <c r="F124" s="538">
        <v>2.5000000000000001E-2</v>
      </c>
      <c r="G124" s="538">
        <v>0.09</v>
      </c>
      <c r="H124" s="538">
        <v>7.0000000000000007E-2</v>
      </c>
      <c r="I124" s="538">
        <v>0.02</v>
      </c>
      <c r="J124" s="538">
        <v>5.0000000000000001E-3</v>
      </c>
      <c r="K124" s="538"/>
      <c r="L124" s="211">
        <f t="shared" si="25"/>
        <v>0.43</v>
      </c>
      <c r="M124" s="211">
        <f t="shared" si="26"/>
        <v>0.1</v>
      </c>
      <c r="N124" s="211">
        <f t="shared" si="27"/>
        <v>3.0000000000000002E-2</v>
      </c>
      <c r="O124" s="211">
        <f t="shared" si="28"/>
        <v>0.43999999999999995</v>
      </c>
      <c r="P124" s="241">
        <f t="shared" si="29"/>
        <v>1</v>
      </c>
      <c r="Q124" s="538"/>
      <c r="R124" s="539">
        <f t="shared" si="30"/>
        <v>0.81499999999999995</v>
      </c>
      <c r="S124" s="539">
        <f t="shared" si="31"/>
        <v>0.185</v>
      </c>
    </row>
    <row r="125" spans="1:19" x14ac:dyDescent="0.25">
      <c r="A125" s="84">
        <v>54</v>
      </c>
      <c r="B125" s="537" t="s">
        <v>533</v>
      </c>
      <c r="C125" s="538">
        <v>0.4</v>
      </c>
      <c r="D125" s="538">
        <v>0.31</v>
      </c>
      <c r="E125" s="538">
        <v>0.08</v>
      </c>
      <c r="F125" s="538">
        <v>0.02</v>
      </c>
      <c r="G125" s="538">
        <v>0.09</v>
      </c>
      <c r="H125" s="538">
        <v>7.0000000000000007E-2</v>
      </c>
      <c r="I125" s="538">
        <v>0.02</v>
      </c>
      <c r="J125" s="538">
        <v>0.01</v>
      </c>
      <c r="K125" s="538"/>
      <c r="L125" s="211">
        <f t="shared" si="25"/>
        <v>0.38</v>
      </c>
      <c r="M125" s="211">
        <f t="shared" si="26"/>
        <v>0.1</v>
      </c>
      <c r="N125" s="211">
        <f t="shared" si="27"/>
        <v>0.03</v>
      </c>
      <c r="O125" s="211">
        <f t="shared" si="28"/>
        <v>0.49</v>
      </c>
      <c r="P125" s="241">
        <f t="shared" si="29"/>
        <v>1</v>
      </c>
      <c r="Q125" s="538"/>
      <c r="R125" s="539">
        <f t="shared" si="30"/>
        <v>0.80999999999999994</v>
      </c>
      <c r="S125" s="539">
        <f t="shared" si="31"/>
        <v>0.19</v>
      </c>
    </row>
    <row r="126" spans="1:19" x14ac:dyDescent="0.25">
      <c r="A126" s="84">
        <v>73</v>
      </c>
      <c r="B126" s="537" t="s">
        <v>534</v>
      </c>
      <c r="C126" s="538">
        <v>0.36</v>
      </c>
      <c r="D126" s="538">
        <v>0.34</v>
      </c>
      <c r="E126" s="538">
        <v>0.08</v>
      </c>
      <c r="F126" s="538">
        <v>2.5000000000000001E-2</v>
      </c>
      <c r="G126" s="538">
        <v>0.09</v>
      </c>
      <c r="H126" s="538">
        <v>0.08</v>
      </c>
      <c r="I126" s="538">
        <v>0.02</v>
      </c>
      <c r="J126" s="538">
        <v>5.0000000000000001E-3</v>
      </c>
      <c r="K126" s="538"/>
      <c r="L126" s="211">
        <f t="shared" si="25"/>
        <v>0.42000000000000004</v>
      </c>
      <c r="M126" s="211">
        <f t="shared" si="26"/>
        <v>0.1</v>
      </c>
      <c r="N126" s="211">
        <f t="shared" si="27"/>
        <v>3.0000000000000002E-2</v>
      </c>
      <c r="O126" s="211">
        <f t="shared" si="28"/>
        <v>0.44999999999999996</v>
      </c>
      <c r="P126" s="241">
        <f t="shared" si="29"/>
        <v>1</v>
      </c>
      <c r="Q126" s="538"/>
      <c r="R126" s="539">
        <f t="shared" si="30"/>
        <v>0.80499999999999994</v>
      </c>
      <c r="S126" s="539">
        <f t="shared" si="31"/>
        <v>0.19499999999999998</v>
      </c>
    </row>
  </sheetData>
  <hyperlinks>
    <hyperlink ref="B24" r:id="rId1" display="https://worldpopulationreview.com/countries/peru" xr:uid="{F87AFE03-7C9C-4EF8-8968-499FE0ECCBDC}"/>
    <hyperlink ref="B28" r:id="rId2" display="https://worldpopulationreview.com/countries/zimbabwe" xr:uid="{FBBAC469-5A9F-4FCB-8B9D-BFCDE1F97B65}"/>
    <hyperlink ref="B30" r:id="rId3" display="https://worldpopulationreview.com/countries/nicaragua" xr:uid="{A2A16F6E-25DF-4C5B-944E-DD65ADB2AC48}"/>
    <hyperlink ref="B31" r:id="rId4" display="https://worldpopulationreview.com/countries/el-salvador" xr:uid="{24CCF9C8-7D62-4340-AE84-7B879645CC47}"/>
    <hyperlink ref="B21" r:id="rId5" display="https://worldpopulationreview.com/countries/dr-congo" xr:uid="{B00C456E-AD2E-4993-BBCE-6CC2FB0D8A74}"/>
    <hyperlink ref="B37" r:id="rId6" display="https://worldpopulationreview.com/countries/mexico" xr:uid="{18A35512-7118-48F2-8053-8096D10109E1}"/>
    <hyperlink ref="B46" r:id="rId7" display="https://worldpopulationreview.com/countries/venezuela" xr:uid="{DE4078C9-9E8D-4468-AC16-6EFBF40FA355}"/>
    <hyperlink ref="B25" r:id="rId8" display="https://worldpopulationreview.com/countries/gabon" xr:uid="{8040E1C7-95DE-48E5-9D1D-59129A9D61E8}"/>
    <hyperlink ref="B40" r:id="rId9" display="https://worldpopulationreview.com/countries/honduras" xr:uid="{E6E57BF1-FCBC-4991-94E2-F44B65DD4D17}"/>
    <hyperlink ref="B42" r:id="rId10" display="https://worldpopulationreview.com/countries/chile" xr:uid="{5BC21DB3-CE28-4231-B5DD-1EFCFF4BB155}"/>
    <hyperlink ref="B65" r:id="rId11" display="https://worldpopulationreview.com/countries/colombia" xr:uid="{345C5109-1805-4A40-9967-9C2E74A06CC2}"/>
    <hyperlink ref="B71" r:id="rId12" display="https://worldpopulationreview.com/countries/paraguay" xr:uid="{DE149DC1-46EC-4565-985A-083B82618C46}"/>
    <hyperlink ref="B57" r:id="rId13" display="https://worldpopulationreview.com/countries/ghana" xr:uid="{36B958EC-049F-4C28-B879-8FAC72708A9E}"/>
    <hyperlink ref="B80" r:id="rId14" display="https://worldpopulationreview.com/countries/somalia" xr:uid="{4A5D3A02-6842-4A6C-BB7F-4AE374444FEC}"/>
    <hyperlink ref="B62" r:id="rId15" display="https://worldpopulationreview.com/countries/egypt" xr:uid="{EE30AD31-3925-4E01-AD30-3FFC0AEDB58A}"/>
    <hyperlink ref="B61" r:id="rId16" display="https://worldpopulationreview.com/countries/bolivia" xr:uid="{D42FE52F-3B72-4D95-922D-39925EA13374}"/>
    <hyperlink ref="B59" r:id="rId17" display="https://worldpopulationreview.com/countries/namibia" xr:uid="{D5C4D2CE-AC1F-4833-8CEC-7B77F90D9F80}"/>
    <hyperlink ref="B39" r:id="rId18" display="https://worldpopulationreview.com/countries/nigeria" xr:uid="{C46BCCBF-ACF5-4383-A53E-A0AA684375CA}"/>
    <hyperlink ref="B48" r:id="rId19" display="https://worldpopulationreview.com/countries/costa-rica" xr:uid="{D3CCAF2F-683C-4695-A804-876AAD4F19B0}"/>
    <hyperlink ref="B23" r:id="rId20" display="https://worldpopulationreview.com/countries/uganda" xr:uid="{EBD88B7D-A0F2-4DCE-B301-78421547A873}"/>
    <hyperlink ref="B67" r:id="rId21" display="https://worldpopulationreview.com/countries/argentina" xr:uid="{F4323E41-A079-4C0A-899F-4EE8B6ADF73F}"/>
    <hyperlink ref="B45" r:id="rId22" display="https://worldpopulationreview.com/countries/bahrain" xr:uid="{19EC9A89-0F02-43CC-B97A-C3136E6B0364}"/>
    <hyperlink ref="B47" r:id="rId23" display="https://worldpopulationreview.com/countries/sudan" xr:uid="{17BC729D-724D-45EE-8B18-B08A2DA75569}"/>
    <hyperlink ref="B27" r:id="rId24" display="https://worldpopulationreview.com/countries/papua-new-guinea" xr:uid="{B67706C7-AB2C-41B4-9E1E-CD53487FABFE}"/>
    <hyperlink ref="B54" r:id="rId25" display="https://worldpopulationreview.com/countries/yemen" xr:uid="{7C7CD352-A310-4566-8C52-2971088247F0}"/>
    <hyperlink ref="B55" r:id="rId26" display="https://worldpopulationreview.com/countries/saudi-arabia" xr:uid="{CAAFB35A-831B-4EA4-AAFA-CCCF42A7405F}"/>
    <hyperlink ref="B52" r:id="rId27" display="https://worldpopulationreview.com/countries/ivory-coast" xr:uid="{D3D742BE-03E6-4584-9DC0-78772BEAF59D}"/>
    <hyperlink ref="B113" r:id="rId28" display="https://worldpopulationreview.com/countries/ireland" xr:uid="{1A915F2E-7B3E-49D8-84B5-AD16D8E94691}"/>
    <hyperlink ref="B50" r:id="rId29" display="https://worldpopulationreview.com/countries/jamaica" xr:uid="{911CC128-D66F-4331-9666-027AC5923160}"/>
    <hyperlink ref="B36" r:id="rId30" display="https://worldpopulationreview.com/countries/guinea" xr:uid="{36764B60-330C-47B5-A1BA-5C4D91F20B45}"/>
    <hyperlink ref="B33" r:id="rId31" display="https://worldpopulationreview.com/countries/cameroon" xr:uid="{16F82F69-3339-4D9D-92AB-CEEADA8FBFB2}"/>
    <hyperlink ref="B98" r:id="rId32" display="https://worldpopulationreview.com/countries/iceland" xr:uid="{2AA2460C-9827-4C11-80BE-B32E3D1FE7E9}"/>
    <hyperlink ref="B29" r:id="rId33" display="https://worldpopulationreview.com/countries/cambodia" xr:uid="{5E01C484-F8D8-4A87-A822-BE7A8A76CBDB}"/>
    <hyperlink ref="B43" r:id="rId34" display="https://worldpopulationreview.com/countries/mauritania" xr:uid="{E780E7CA-A334-4B8D-B9DA-A3270E686C97}"/>
    <hyperlink ref="B56" r:id="rId35" display="https://worldpopulationreview.com/countries/dominican-republic" xr:uid="{F8CC2A7E-3193-4C89-B171-95DE2DEC9192}"/>
    <hyperlink ref="B8" r:id="rId36" display="https://worldpopulationreview.com/countries/philippines" xr:uid="{65D016DD-D9C5-4F32-89F8-E0291BBA5C2C}"/>
    <hyperlink ref="B58" r:id="rId37" display="https://worldpopulationreview.com/countries/cuba" xr:uid="{7EF64EEA-B66B-44A6-A6B7-9329093701DC}"/>
    <hyperlink ref="B34" r:id="rId38" display="https://worldpopulationreview.com/countries/kenya" xr:uid="{45CEDD35-29C0-4AED-BD8E-26108BE33385}"/>
    <hyperlink ref="B20" r:id="rId39" display="https://worldpopulationreview.com/countries/singapore" xr:uid="{3E9A4B26-4B43-4808-9308-BC8C17B54BD7}"/>
    <hyperlink ref="B64" r:id="rId40" display="https://worldpopulationreview.com/countries/united-arab-emirates" xr:uid="{970161DB-005B-4922-B065-595FD8926C9A}"/>
    <hyperlink ref="B122" r:id="rId41" display="https://worldpopulationreview.com/countries/united-kingdom" xr:uid="{15653D5E-C965-4E98-B07B-AB9F27E54662}"/>
    <hyperlink ref="B6" r:id="rId42" display="https://worldpopulationreview.com/countries/taiwan" xr:uid="{85849EB2-C2BA-41D7-A525-E574C685F051}"/>
    <hyperlink ref="B38" r:id="rId43" display="https://worldpopulationreview.com/countries/sri-lanka" xr:uid="{EF9E8BAC-BF75-460B-886D-86261D38E5FC}"/>
    <hyperlink ref="B68" r:id="rId44" display="https://worldpopulationreview.com/countries/syria" xr:uid="{5E2EA056-D02E-4DC6-B2EA-5DE791480817}"/>
    <hyperlink ref="B26" r:id="rId45" display="https://worldpopulationreview.com/countries/fiji" xr:uid="{3FC877C9-230D-4673-9EEE-EBE4BAB7DC09}"/>
    <hyperlink ref="B82" r:id="rId46" display="https://worldpopulationreview.com/countries/libya" xr:uid="{801658F0-791C-42DA-9686-5589D477D957}"/>
    <hyperlink ref="B70" r:id="rId47" display="https://worldpopulationreview.com/countries/morocco" xr:uid="{593292B4-4411-4DDF-B9B1-0D686637871B}"/>
    <hyperlink ref="B66" r:id="rId48" display="https://worldpopulationreview.com/countries/tunisia" xr:uid="{9315FF57-38DC-4323-8646-2E977CD69134}"/>
    <hyperlink ref="B15" r:id="rId49" display="https://worldpopulationreview.com/countries/vietnam" xr:uid="{988F6C6B-9AE3-4FC7-BBE1-5B6F0163B513}"/>
    <hyperlink ref="B16" r:id="rId50" display="https://worldpopulationreview.com/countries/hong-kong" xr:uid="{141BF7D3-C436-4768-AF33-1067999049DD}"/>
    <hyperlink ref="B13" r:id="rId51" display="https://worldpopulationreview.com/countries/thailand" xr:uid="{12392635-A47D-4222-A909-F09C6A3FC1C5}"/>
    <hyperlink ref="B76" r:id="rId52" display="https://worldpopulationreview.com/countries/algeria" xr:uid="{0FC55048-DF11-45B4-B679-301C3C343A96}"/>
    <hyperlink ref="B125" r:id="rId53" display="https://worldpopulationreview.com/countries/australia" xr:uid="{44A88BD8-14A7-468A-8D1F-64032BAA3B42}"/>
    <hyperlink ref="B60" r:id="rId54" display="https://worldpopulationreview.com/countries/burkina-faso" xr:uid="{E372E754-9D4A-4C58-8D76-2CD34FE8DF80}"/>
    <hyperlink ref="B119" r:id="rId55" display="https://worldpopulationreview.com/countries/netherlands" xr:uid="{16AF11A9-7D6A-4C24-AE44-F6BD347AE4E9}"/>
    <hyperlink ref="B49" r:id="rId56" display="https://worldpopulationreview.com/countries/ethiopia" xr:uid="{417C736E-8704-439E-A0FE-2B94169BB1D4}"/>
    <hyperlink ref="B86" r:id="rId57" display="https://worldpopulationreview.com/countries/south-africa" xr:uid="{096E3F75-DABD-4B3B-9E5E-C41719647579}"/>
    <hyperlink ref="B99" r:id="rId58" display="https://worldpopulationreview.com/countries/italy" xr:uid="{DC863D23-BC83-4C31-B68D-139574B6E41F}"/>
    <hyperlink ref="B88" r:id="rId59" display="https://worldpopulationreview.com/countries/canada" xr:uid="{7E880400-2941-4AE1-ADCF-BED7741C3314}"/>
    <hyperlink ref="B19" r:id="rId60" display="https://worldpopulationreview.com/countries/mongolia" xr:uid="{1A594415-6D74-41AB-ACE4-050712CEBC7B}"/>
    <hyperlink ref="B120" r:id="rId61" display="https://worldpopulationreview.com/countries/lebanon" xr:uid="{487926D1-D331-4F7F-8BCE-6E4F5A417022}"/>
    <hyperlink ref="B35" r:id="rId62" display="https://worldpopulationreview.com/countries/mauritius" xr:uid="{533A2564-0AD6-4488-AACD-03DB32D5FC58}"/>
    <hyperlink ref="B7" r:id="rId63" display="https://worldpopulationreview.com/countries/bhutan" xr:uid="{52602450-9D6A-4599-95C3-303BD67612E5}"/>
    <hyperlink ref="B123" r:id="rId64" display="https://worldpopulationreview.com/countries/new-zealand" xr:uid="{052689D6-1006-4800-AC4F-81ACB82E6DD9}"/>
    <hyperlink ref="B77" r:id="rId65" display="https://worldpopulationreview.com/countries/malta" xr:uid="{983F04F5-5538-4C31-B03B-E10B9DF05B51}"/>
    <hyperlink ref="B100" r:id="rId66" display="https://worldpopulationreview.com/countries/greece" xr:uid="{5FAA213F-BDF8-477A-9F8E-4797E4CB0C44}"/>
    <hyperlink ref="B14" r:id="rId67" display="https://worldpopulationreview.com/countries/laos" xr:uid="{9DA00167-2ADA-4C78-A70B-1D325C5EC3C1}"/>
    <hyperlink ref="B101" r:id="rId68" display="https://worldpopulationreview.com/countries/united-states" xr:uid="{292C49EB-3812-4495-88BD-C36134518B94}"/>
    <hyperlink ref="B12" r:id="rId69" display="https://worldpopulationreview.com/countries/indonesia" xr:uid="{1412A787-33A8-41F3-A8B7-F4840C1DE86A}"/>
    <hyperlink ref="B109" r:id="rId70" display="https://worldpopulationreview.com/countries/france" xr:uid="{D49A264F-9856-4F72-9C58-73461AEF57DE}"/>
    <hyperlink ref="B87" r:id="rId71" display="https://worldpopulationreview.com/countries/portugal" xr:uid="{0E960373-C6C7-4D2E-90A0-3E2023B60ACC}"/>
    <hyperlink ref="B126" r:id="rId72" display="https://worldpopulationreview.com/countries/brazil" xr:uid="{D5338F04-1931-4020-AE41-0696C51EC0D9}"/>
    <hyperlink ref="B102" r:id="rId73" display="https://worldpopulationreview.com/countries/belgium" xr:uid="{D1C701E2-267D-4ECF-BCBB-0A29A44FBEEE}"/>
    <hyperlink ref="B114" r:id="rId74" display="https://worldpopulationreview.com/countries/lithuania" xr:uid="{1641D33C-025C-4C06-AE57-A53F23AA998D}"/>
    <hyperlink ref="B18" r:id="rId75" display="https://worldpopulationreview.com/countries/myanmar" xr:uid="{BFC8B5F3-75EF-435E-94A1-AD8766049C54}"/>
    <hyperlink ref="B63" r:id="rId76" display="https://worldpopulationreview.com/countries/cyprus" xr:uid="{736B6C32-1C79-4DD4-8E37-FFAB268AE690}"/>
    <hyperlink ref="B17" r:id="rId77" display="https://worldpopulationreview.com/countries/nepal" xr:uid="{617FD972-80AC-45FF-8744-096915894838}"/>
    <hyperlink ref="B103" r:id="rId78" display="https://worldpopulationreview.com/countries/germany" xr:uid="{26FC7B62-BAD7-4902-A285-DA6DF3C60D16}"/>
    <hyperlink ref="B124" r:id="rId79" display="https://worldpopulationreview.com/countries/spain" xr:uid="{F2F5C817-5C3B-49AD-9EF0-560A5DED462C}"/>
    <hyperlink ref="B104" r:id="rId80" display="https://worldpopulationreview.com/countries/switzerland" xr:uid="{5652F9DA-193F-45AB-9EC4-34780199CB03}"/>
    <hyperlink ref="B115" r:id="rId81" display="https://worldpopulationreview.com/countries/denmark" xr:uid="{2E8EBD32-4CD6-4335-B794-60D838F89BC2}"/>
    <hyperlink ref="B89" r:id="rId82" display="https://worldpopulationreview.com/countries/georgia" xr:uid="{6ACF0C7A-4430-445F-B42C-0CF87E9441AA}"/>
    <hyperlink ref="B10" r:id="rId83" display="https://worldpopulationreview.com/countries/malaysia" xr:uid="{6F949A17-01A2-4CF2-80D7-01A4CBA163D8}"/>
    <hyperlink ref="B4" r:id="rId84" display="https://worldpopulationreview.com/countries/china" xr:uid="{E09F880C-DCBC-44F3-9858-9E585306EE24}"/>
    <hyperlink ref="B90" r:id="rId85" display="https://worldpopulationreview.com/countries/albania" xr:uid="{630FDA9D-ED15-40EA-B68E-215092E4269A}"/>
    <hyperlink ref="B105" r:id="rId86" display="https://worldpopulationreview.com/countries/liechtenstein" xr:uid="{C1A527C9-C0DD-4AE4-852B-948FA2A24B29}"/>
    <hyperlink ref="B75" r:id="rId87" display="https://worldpopulationreview.com/countries/iran" xr:uid="{B5F479B6-737F-4305-9F59-DCD52A707642}"/>
    <hyperlink ref="B91" r:id="rId88" display="https://worldpopulationreview.com/countries/norway" xr:uid="{9180BF54-64A8-4D3F-BDBD-E135786CA006}"/>
    <hyperlink ref="B79" r:id="rId89" display="https://worldpopulationreview.com/countries/jordan" xr:uid="{97724233-E1BD-4E18-BA36-76EC006DA060}"/>
    <hyperlink ref="B44" r:id="rId90" display="https://worldpopulationreview.com/countries/india" xr:uid="{EE069E2D-C5F0-4ACF-B693-58749589BE80}"/>
    <hyperlink ref="B92" r:id="rId91" display="https://worldpopulationreview.com/countries/belarus" xr:uid="{CCC941A4-5DEE-48A5-A686-05B6853F3947}"/>
    <hyperlink ref="B72" r:id="rId92" display="https://worldpopulationreview.com/countries/iraq" xr:uid="{E9DCD237-11D6-4B28-9436-63BEB24443BF}"/>
    <hyperlink ref="B83" r:id="rId93" display="https://worldpopulationreview.com/countries/ukraine" xr:uid="{027D0C78-7A1F-4166-90E7-65893EBBA4BF}"/>
    <hyperlink ref="B116" r:id="rId94" display="https://worldpopulationreview.com/countries/sweden" xr:uid="{09C56E9A-F025-4CCA-A2CD-B689052CCDCD}"/>
    <hyperlink ref="B73" r:id="rId95" display="https://worldpopulationreview.com/countries/israel" xr:uid="{B09E9902-F5E4-40F0-8925-7ACB1D9E731A}"/>
    <hyperlink ref="B117" r:id="rId96" display="https://worldpopulationreview.com/countries/serbia" xr:uid="{D93F8E04-E6E8-47FE-85D4-8D85B85EF6EC}"/>
    <hyperlink ref="B93" r:id="rId97" display="https://worldpopulationreview.com/countries/poland" xr:uid="{0C7A072D-4AE6-4C08-BCA9-997CCBFED109}"/>
    <hyperlink ref="B108" r:id="rId98" display="https://worldpopulationreview.com/countries/bosnia-and-herzegovina" xr:uid="{82C5E388-AAAE-4CBB-994C-6C56C0B8EDBB}"/>
    <hyperlink ref="B121" r:id="rId99" display="https://worldpopulationreview.com/countries/slovenia" xr:uid="{B081173B-9168-4987-B8D3-2273384FEBEA}"/>
    <hyperlink ref="B51" r:id="rId100" display="https://worldpopulationreview.com/countries/kazakhstan" xr:uid="{31934681-C0AB-41AB-A8AD-765C91C6BE19}"/>
    <hyperlink ref="B111" r:id="rId101" display="https://worldpopulationreview.com/countries/latvia" xr:uid="{55BE1F8E-D2A1-4127-A31B-69513D43E700}"/>
    <hyperlink ref="B69" r:id="rId102" display="https://worldpopulationreview.com/countries/pakistan" xr:uid="{5E00D190-65BD-44BA-BD81-45C745C2CD17}"/>
    <hyperlink ref="B118" r:id="rId103" display="https://worldpopulationreview.com/countries/austria" xr:uid="{5E2A9165-E0BC-4B9A-9371-9AABF9775BAA}"/>
    <hyperlink ref="B94" r:id="rId104" display="https://worldpopulationreview.com/countries/north-macedonia" xr:uid="{4A6E2398-610F-4877-8648-C829A5E6CF17}"/>
    <hyperlink ref="B106" r:id="rId105" display="https://worldpopulationreview.com/countries/russia" xr:uid="{B5866569-B74D-4A30-9B5D-8ECADCDCB09A}"/>
    <hyperlink ref="B11" r:id="rId106" display="https://worldpopulationreview.com/countries/japan" xr:uid="{8582F518-6988-4269-AF88-2AD81368C3BB}"/>
    <hyperlink ref="B78" r:id="rId107" display="https://worldpopulationreview.com/countries/turkey" xr:uid="{4EA099AB-009A-43EA-BD2F-46B4705A7CA4}"/>
    <hyperlink ref="B74" r:id="rId108" display="https://worldpopulationreview.com/countries/azerbaijan" xr:uid="{FC29B7E9-AE15-4D70-9659-C7A16CC025E2}"/>
    <hyperlink ref="B81" r:id="rId109" display="https://worldpopulationreview.com/countries/estonia" xr:uid="{2C513F4D-4F60-4AA3-B698-A8B966C1DC66}"/>
    <hyperlink ref="B41" r:id="rId110" display="https://worldpopulationreview.com/countries/uzbekistan" xr:uid="{B8BEDD70-73D7-4A0B-93CB-2B0BA791BB63}"/>
    <hyperlink ref="B22" r:id="rId111" display="https://worldpopulationreview.com/countries/bangladesh" xr:uid="{5977A746-94DE-453B-BF6F-7206CE360686}"/>
    <hyperlink ref="B107" r:id="rId112" display="https://worldpopulationreview.com/countries/croatia" xr:uid="{B4C19630-7EB2-4967-923A-A6569287B4FA}"/>
    <hyperlink ref="B53" r:id="rId113" display="https://worldpopulationreview.com/countries/armenia" xr:uid="{563615AD-85BD-439C-8A78-35BCE357592B}"/>
    <hyperlink ref="B110" r:id="rId114" display="https://worldpopulationreview.com/countries/moldova" xr:uid="{84F56CD5-1819-42E8-9AD1-F71213C33693}"/>
    <hyperlink ref="B84" r:id="rId115" display="https://worldpopulationreview.com/countries/romania" xr:uid="{4796A853-44FD-4469-AE91-4DFCF8EBF7E8}"/>
    <hyperlink ref="B95" r:id="rId116" display="https://worldpopulationreview.com/countries/bulgaria" xr:uid="{ACAD8709-DF7F-46CF-A19B-31DBDE5691D7}"/>
    <hyperlink ref="B85" r:id="rId117" display="https://worldpopulationreview.com/countries/finland" xr:uid="{99DEF8A3-75EE-4DCD-A8E4-10A6FEBD68FD}"/>
    <hyperlink ref="B9" r:id="rId118" display="https://worldpopulationreview.com/countries/south-korea" xr:uid="{B21E4051-C8D5-492C-AD1D-66B877C4B775}"/>
    <hyperlink ref="B97" r:id="rId119" display="https://worldpopulationreview.com/countries/slovakia" xr:uid="{F13868D6-EBBF-4441-8F00-30B7E14223E1}"/>
    <hyperlink ref="B5" r:id="rId120" display="https://worldpopulationreview.com/countries/north-korea" xr:uid="{BA048F89-A172-4C22-9C5E-4A38336C5268}"/>
    <hyperlink ref="B96" r:id="rId121" display="https://worldpopulationreview.com/countries/czech-republic" xr:uid="{49FAEC1C-D582-42A6-8ECA-D1DF299FAB8D}"/>
    <hyperlink ref="B112" r:id="rId122" display="https://worldpopulationreview.com/countries/hungary" xr:uid="{0EE16DA2-8F05-4328-B432-1E5514186BAA}"/>
    <hyperlink ref="B32" r:id="rId123" display="https://worldpopulationreview.com/countries/ecuador" xr:uid="{1F51AD9D-F5F5-489B-A0ED-7A6A1F2EBD3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888B-04DE-40E9-9ABE-B59C7F7EC2F5}">
  <sheetPr>
    <tabColor rgb="FF00B0F0"/>
  </sheetPr>
  <dimension ref="B1:N48"/>
  <sheetViews>
    <sheetView workbookViewId="0">
      <pane ySplit="2" topLeftCell="A3" activePane="bottomLeft" state="frozen"/>
      <selection activeCell="P2" sqref="P2"/>
      <selection pane="bottomLeft" activeCell="Q42" sqref="Q42"/>
    </sheetView>
  </sheetViews>
  <sheetFormatPr defaultRowHeight="15" x14ac:dyDescent="0.25"/>
  <cols>
    <col min="1" max="1" width="2.5703125" customWidth="1"/>
    <col min="2" max="2" width="9.42578125" bestFit="1" customWidth="1"/>
    <col min="3" max="4" width="10.7109375" customWidth="1"/>
    <col min="5" max="5" width="2.7109375" customWidth="1"/>
    <col min="7" max="8" width="10.7109375" customWidth="1"/>
    <col min="9" max="9" width="2.7109375" customWidth="1"/>
    <col min="11" max="12" width="10.7109375" customWidth="1"/>
  </cols>
  <sheetData>
    <row r="1" spans="2:14" ht="15.75" x14ac:dyDescent="0.25">
      <c r="B1" s="246" t="s">
        <v>245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"/>
      <c r="N1" s="2"/>
    </row>
    <row r="2" spans="2:14" s="3" customFormat="1" ht="21.75" thickBot="1" x14ac:dyDescent="0.4">
      <c r="B2" s="60" t="s">
        <v>183</v>
      </c>
      <c r="C2" s="60"/>
      <c r="D2" s="60"/>
      <c r="E2" s="58"/>
      <c r="F2" s="58"/>
      <c r="G2" s="58"/>
      <c r="H2" s="58"/>
      <c r="I2" s="58"/>
      <c r="J2" s="58"/>
      <c r="K2" s="58"/>
      <c r="L2" s="58"/>
      <c r="M2" s="58"/>
      <c r="N2" s="32"/>
    </row>
    <row r="3" spans="2:14" s="3" customFormat="1" ht="21.75" thickBot="1" x14ac:dyDescent="0.4">
      <c r="B3" s="14"/>
      <c r="C3" s="629" t="s">
        <v>36</v>
      </c>
      <c r="D3" s="630"/>
      <c r="F3" s="14"/>
      <c r="G3" s="629" t="s">
        <v>40</v>
      </c>
      <c r="H3" s="630"/>
      <c r="J3" s="14"/>
      <c r="K3" s="629" t="s">
        <v>39</v>
      </c>
      <c r="L3" s="630"/>
    </row>
    <row r="4" spans="2:14" s="30" customFormat="1" ht="19.5" thickBot="1" x14ac:dyDescent="0.35">
      <c r="B4" s="62"/>
      <c r="C4" s="5" t="s">
        <v>30</v>
      </c>
      <c r="D4" s="6" t="s">
        <v>31</v>
      </c>
      <c r="E4" s="24"/>
      <c r="F4" s="62"/>
      <c r="G4" s="5" t="s">
        <v>30</v>
      </c>
      <c r="H4" s="6" t="s">
        <v>31</v>
      </c>
      <c r="J4" s="62"/>
      <c r="K4" s="5" t="s">
        <v>38</v>
      </c>
      <c r="L4" s="6" t="s">
        <v>24</v>
      </c>
    </row>
    <row r="5" spans="2:14" s="30" customFormat="1" ht="18.75" x14ac:dyDescent="0.3">
      <c r="B5" s="62"/>
      <c r="C5" s="169">
        <v>7.2</v>
      </c>
      <c r="D5" s="173">
        <v>8.8000000000000007</v>
      </c>
      <c r="F5" s="62"/>
      <c r="G5" s="169">
        <v>7.2</v>
      </c>
      <c r="H5" s="173">
        <v>8.8000000000000007</v>
      </c>
      <c r="J5" s="62"/>
      <c r="K5" s="169">
        <v>4.0199999999999996</v>
      </c>
      <c r="L5" s="175">
        <v>3.02</v>
      </c>
    </row>
    <row r="6" spans="2:14" s="30" customFormat="1" ht="18.75" x14ac:dyDescent="0.3">
      <c r="B6" s="62"/>
      <c r="C6" s="171">
        <v>7.1</v>
      </c>
      <c r="D6" s="174">
        <v>7.5</v>
      </c>
      <c r="F6" s="62"/>
      <c r="G6" s="171">
        <v>7.1</v>
      </c>
      <c r="H6" s="174">
        <v>7.5</v>
      </c>
      <c r="J6" s="62"/>
      <c r="K6" s="171">
        <v>3.88</v>
      </c>
      <c r="L6" s="75"/>
    </row>
    <row r="7" spans="2:14" s="30" customFormat="1" ht="18.75" x14ac:dyDescent="0.3">
      <c r="B7" s="62"/>
      <c r="C7" s="171">
        <v>9.1</v>
      </c>
      <c r="D7" s="174">
        <v>7.7</v>
      </c>
      <c r="F7" s="62"/>
      <c r="G7" s="171">
        <v>9.1</v>
      </c>
      <c r="H7" s="174">
        <v>7.7</v>
      </c>
      <c r="J7" s="62"/>
      <c r="K7" s="171">
        <v>3.34</v>
      </c>
      <c r="L7" s="75"/>
    </row>
    <row r="8" spans="2:14" s="30" customFormat="1" ht="18.75" x14ac:dyDescent="0.3">
      <c r="B8" s="62"/>
      <c r="C8" s="171">
        <v>7.2</v>
      </c>
      <c r="D8" s="174">
        <v>7.6</v>
      </c>
      <c r="F8" s="62"/>
      <c r="G8" s="171">
        <v>7.2</v>
      </c>
      <c r="H8" s="174">
        <v>7.6</v>
      </c>
      <c r="J8" s="62"/>
      <c r="K8" s="171">
        <v>3.87</v>
      </c>
      <c r="L8" s="75"/>
    </row>
    <row r="9" spans="2:14" s="30" customFormat="1" ht="18.75" x14ac:dyDescent="0.3">
      <c r="B9" s="62"/>
      <c r="C9" s="171">
        <v>7.3</v>
      </c>
      <c r="D9" s="174">
        <v>7.4</v>
      </c>
      <c r="F9" s="62"/>
      <c r="G9" s="171">
        <v>7.3</v>
      </c>
      <c r="H9" s="174">
        <v>7.4</v>
      </c>
      <c r="J9" s="62"/>
      <c r="K9" s="171">
        <v>3.18</v>
      </c>
      <c r="L9" s="75"/>
    </row>
    <row r="10" spans="2:14" s="30" customFormat="1" ht="18.75" x14ac:dyDescent="0.3">
      <c r="B10" s="62"/>
      <c r="C10" s="171">
        <v>7.2</v>
      </c>
      <c r="D10" s="174">
        <v>6.7</v>
      </c>
      <c r="F10" s="62"/>
      <c r="G10" s="171">
        <v>7.2</v>
      </c>
      <c r="H10" s="174">
        <v>6.7</v>
      </c>
      <c r="J10" s="62"/>
      <c r="K10" s="171"/>
      <c r="L10" s="75"/>
    </row>
    <row r="11" spans="2:14" s="30" customFormat="1" ht="18.75" x14ac:dyDescent="0.3">
      <c r="B11" s="62"/>
      <c r="C11" s="171">
        <v>7.5</v>
      </c>
      <c r="D11" s="174">
        <v>7.2</v>
      </c>
      <c r="F11" s="62"/>
      <c r="G11" s="171">
        <v>7.5</v>
      </c>
      <c r="H11" s="174">
        <v>7.2</v>
      </c>
      <c r="J11" s="62"/>
      <c r="K11" s="171"/>
      <c r="L11" s="75"/>
    </row>
    <row r="12" spans="2:14" s="30" customFormat="1" ht="18.75" x14ac:dyDescent="0.3">
      <c r="B12" s="62"/>
      <c r="C12" s="28"/>
      <c r="D12" s="66"/>
      <c r="F12" s="62"/>
      <c r="G12" s="171">
        <v>7.4</v>
      </c>
      <c r="H12" s="174"/>
      <c r="J12" s="62"/>
      <c r="K12" s="171"/>
      <c r="L12" s="75"/>
    </row>
    <row r="13" spans="2:14" s="30" customFormat="1" ht="18.75" x14ac:dyDescent="0.3">
      <c r="B13" s="62"/>
      <c r="C13" s="28"/>
      <c r="D13" s="66"/>
      <c r="F13" s="62"/>
      <c r="G13" s="28"/>
      <c r="H13" s="66"/>
      <c r="J13" s="62"/>
      <c r="K13" s="28"/>
      <c r="L13" s="75"/>
    </row>
    <row r="14" spans="2:14" s="30" customFormat="1" ht="18.75" x14ac:dyDescent="0.3">
      <c r="B14" s="62"/>
      <c r="C14" s="28"/>
      <c r="D14" s="66"/>
      <c r="F14" s="62"/>
      <c r="G14" s="28"/>
      <c r="H14" s="66"/>
      <c r="J14" s="62"/>
      <c r="K14" s="28"/>
      <c r="L14" s="75"/>
    </row>
    <row r="15" spans="2:14" s="30" customFormat="1" ht="18.75" x14ac:dyDescent="0.3">
      <c r="B15" s="62"/>
      <c r="C15" s="28"/>
      <c r="D15" s="66"/>
      <c r="F15" s="62"/>
      <c r="G15" s="28"/>
      <c r="H15" s="66"/>
      <c r="J15" s="62"/>
      <c r="K15" s="28"/>
      <c r="L15" s="75"/>
    </row>
    <row r="16" spans="2:14" s="30" customFormat="1" ht="18.75" hidden="1" x14ac:dyDescent="0.3">
      <c r="B16" s="62"/>
      <c r="C16" s="28"/>
      <c r="D16" s="66"/>
      <c r="F16" s="62"/>
      <c r="G16" s="28"/>
      <c r="H16" s="66"/>
      <c r="J16" s="62"/>
      <c r="K16" s="28"/>
      <c r="L16" s="75"/>
    </row>
    <row r="17" spans="2:12" s="30" customFormat="1" ht="18.75" hidden="1" x14ac:dyDescent="0.3">
      <c r="B17" s="62"/>
      <c r="C17" s="28"/>
      <c r="D17" s="66"/>
      <c r="F17" s="62"/>
      <c r="G17" s="28"/>
      <c r="H17" s="66"/>
      <c r="J17" s="62"/>
      <c r="K17" s="28"/>
      <c r="L17" s="75"/>
    </row>
    <row r="18" spans="2:12" s="30" customFormat="1" ht="18.75" hidden="1" x14ac:dyDescent="0.3">
      <c r="B18" s="62"/>
      <c r="C18" s="28"/>
      <c r="D18" s="66"/>
      <c r="F18" s="62"/>
      <c r="G18" s="28"/>
      <c r="H18" s="66"/>
      <c r="J18" s="62"/>
      <c r="K18" s="28"/>
      <c r="L18" s="75"/>
    </row>
    <row r="19" spans="2:12" s="30" customFormat="1" ht="18.75" hidden="1" x14ac:dyDescent="0.3">
      <c r="B19" s="62"/>
      <c r="C19" s="28"/>
      <c r="D19" s="66"/>
      <c r="F19" s="62"/>
      <c r="G19" s="28"/>
      <c r="H19" s="66"/>
      <c r="J19" s="62"/>
      <c r="K19" s="28"/>
      <c r="L19" s="75"/>
    </row>
    <row r="20" spans="2:12" s="30" customFormat="1" ht="18.75" hidden="1" x14ac:dyDescent="0.3">
      <c r="B20" s="62"/>
      <c r="C20" s="28"/>
      <c r="D20" s="66"/>
      <c r="F20" s="62"/>
      <c r="G20" s="28"/>
      <c r="H20" s="66"/>
      <c r="J20" s="62"/>
      <c r="K20" s="28"/>
      <c r="L20" s="75"/>
    </row>
    <row r="21" spans="2:12" s="30" customFormat="1" ht="18.75" hidden="1" x14ac:dyDescent="0.3">
      <c r="B21" s="62"/>
      <c r="C21" s="28"/>
      <c r="D21" s="66"/>
      <c r="F21" s="62"/>
      <c r="G21" s="28"/>
      <c r="H21" s="66"/>
      <c r="J21" s="62"/>
      <c r="K21" s="28"/>
      <c r="L21" s="75"/>
    </row>
    <row r="22" spans="2:12" s="30" customFormat="1" ht="18.75" hidden="1" x14ac:dyDescent="0.3">
      <c r="B22" s="62"/>
      <c r="C22" s="28"/>
      <c r="D22" s="66"/>
      <c r="F22" s="62"/>
      <c r="G22" s="28"/>
      <c r="H22" s="66"/>
      <c r="J22" s="62"/>
      <c r="K22" s="28"/>
      <c r="L22" s="75"/>
    </row>
    <row r="23" spans="2:12" s="30" customFormat="1" ht="18.75" hidden="1" x14ac:dyDescent="0.3">
      <c r="B23" s="62"/>
      <c r="C23" s="28"/>
      <c r="D23" s="66"/>
      <c r="F23" s="62"/>
      <c r="G23" s="28"/>
      <c r="H23" s="66"/>
      <c r="J23" s="62"/>
      <c r="K23" s="28"/>
      <c r="L23" s="75"/>
    </row>
    <row r="24" spans="2:12" s="30" customFormat="1" ht="18.75" hidden="1" x14ac:dyDescent="0.3">
      <c r="B24" s="62"/>
      <c r="C24" s="28"/>
      <c r="D24" s="66"/>
      <c r="F24" s="62"/>
      <c r="G24" s="28"/>
      <c r="H24" s="66"/>
      <c r="J24" s="62"/>
      <c r="K24" s="28"/>
      <c r="L24" s="75"/>
    </row>
    <row r="25" spans="2:12" s="30" customFormat="1" ht="18.75" hidden="1" x14ac:dyDescent="0.3">
      <c r="B25" s="62"/>
      <c r="C25" s="28"/>
      <c r="D25" s="66"/>
      <c r="F25" s="62"/>
      <c r="G25" s="28"/>
      <c r="H25" s="66"/>
      <c r="J25" s="62"/>
      <c r="K25" s="28"/>
      <c r="L25" s="75"/>
    </row>
    <row r="26" spans="2:12" s="30" customFormat="1" ht="18.75" hidden="1" x14ac:dyDescent="0.3">
      <c r="B26" s="62"/>
      <c r="C26" s="28"/>
      <c r="D26" s="66"/>
      <c r="F26" s="62"/>
      <c r="G26" s="28"/>
      <c r="H26" s="66"/>
      <c r="J26" s="62"/>
      <c r="K26" s="28"/>
      <c r="L26" s="75"/>
    </row>
    <row r="27" spans="2:12" s="30" customFormat="1" ht="18.75" hidden="1" x14ac:dyDescent="0.3">
      <c r="B27" s="62"/>
      <c r="C27" s="28"/>
      <c r="D27" s="66"/>
      <c r="F27" s="62"/>
      <c r="G27" s="28"/>
      <c r="H27" s="66"/>
      <c r="J27" s="62"/>
      <c r="K27" s="28"/>
      <c r="L27" s="75"/>
    </row>
    <row r="28" spans="2:12" s="30" customFormat="1" ht="18.75" hidden="1" x14ac:dyDescent="0.3">
      <c r="B28" s="62"/>
      <c r="C28" s="28"/>
      <c r="D28" s="66"/>
      <c r="F28" s="62"/>
      <c r="G28" s="28"/>
      <c r="H28" s="66"/>
      <c r="J28" s="62"/>
      <c r="K28" s="28"/>
      <c r="L28" s="75"/>
    </row>
    <row r="29" spans="2:12" s="30" customFormat="1" ht="18.75" hidden="1" x14ac:dyDescent="0.3">
      <c r="B29" s="62"/>
      <c r="C29" s="28"/>
      <c r="D29" s="66"/>
      <c r="F29" s="62"/>
      <c r="G29" s="28"/>
      <c r="H29" s="66"/>
      <c r="J29" s="62"/>
      <c r="K29" s="28"/>
      <c r="L29" s="75"/>
    </row>
    <row r="30" spans="2:12" s="30" customFormat="1" ht="18.75" hidden="1" x14ac:dyDescent="0.3">
      <c r="B30" s="62"/>
      <c r="C30" s="28"/>
      <c r="D30" s="66"/>
      <c r="F30" s="62"/>
      <c r="G30" s="28"/>
      <c r="H30" s="66"/>
      <c r="J30" s="62"/>
      <c r="K30" s="28"/>
      <c r="L30" s="75"/>
    </row>
    <row r="31" spans="2:12" s="30" customFormat="1" ht="18.75" hidden="1" x14ac:dyDescent="0.3">
      <c r="B31" s="62"/>
      <c r="C31" s="28"/>
      <c r="D31" s="66"/>
      <c r="F31" s="62"/>
      <c r="G31" s="28"/>
      <c r="H31" s="66"/>
      <c r="J31" s="62"/>
      <c r="K31" s="28"/>
      <c r="L31" s="75"/>
    </row>
    <row r="32" spans="2:12" s="30" customFormat="1" ht="18.75" hidden="1" x14ac:dyDescent="0.3">
      <c r="B32" s="62"/>
      <c r="C32" s="28"/>
      <c r="D32" s="66"/>
      <c r="F32" s="62"/>
      <c r="G32" s="28"/>
      <c r="H32" s="66"/>
      <c r="J32" s="62"/>
      <c r="K32" s="28"/>
      <c r="L32" s="75"/>
    </row>
    <row r="33" spans="2:13" s="30" customFormat="1" ht="18.75" hidden="1" x14ac:dyDescent="0.3">
      <c r="B33" s="62"/>
      <c r="C33" s="28"/>
      <c r="D33" s="66"/>
      <c r="F33" s="62"/>
      <c r="G33" s="28"/>
      <c r="H33" s="66"/>
      <c r="J33" s="62"/>
      <c r="K33" s="28"/>
      <c r="L33" s="75"/>
    </row>
    <row r="34" spans="2:13" s="30" customFormat="1" ht="18.75" hidden="1" x14ac:dyDescent="0.3">
      <c r="B34" s="62"/>
      <c r="C34" s="28"/>
      <c r="D34" s="66"/>
      <c r="F34" s="62"/>
      <c r="G34" s="28"/>
      <c r="H34" s="66"/>
      <c r="J34" s="62"/>
      <c r="K34" s="28"/>
      <c r="L34" s="75"/>
    </row>
    <row r="35" spans="2:13" s="30" customFormat="1" ht="18.75" hidden="1" x14ac:dyDescent="0.3">
      <c r="B35" s="62"/>
      <c r="C35" s="28"/>
      <c r="D35" s="66"/>
      <c r="F35" s="62"/>
      <c r="G35" s="28"/>
      <c r="H35" s="66"/>
      <c r="J35" s="62"/>
      <c r="K35" s="28"/>
      <c r="L35" s="75"/>
    </row>
    <row r="36" spans="2:13" s="30" customFormat="1" ht="18.75" hidden="1" x14ac:dyDescent="0.3">
      <c r="B36" s="62"/>
      <c r="C36" s="28"/>
      <c r="D36" s="66"/>
      <c r="F36" s="62"/>
      <c r="G36" s="28"/>
      <c r="H36" s="66"/>
      <c r="J36" s="62"/>
      <c r="K36" s="28"/>
      <c r="L36" s="75"/>
    </row>
    <row r="37" spans="2:13" s="30" customFormat="1" ht="18.75" hidden="1" x14ac:dyDescent="0.3">
      <c r="B37" s="62"/>
      <c r="C37" s="28"/>
      <c r="D37" s="66"/>
      <c r="F37" s="62"/>
      <c r="G37" s="28"/>
      <c r="H37" s="66"/>
      <c r="J37" s="62"/>
      <c r="K37" s="28"/>
      <c r="L37" s="75"/>
    </row>
    <row r="38" spans="2:13" s="30" customFormat="1" ht="18.75" hidden="1" x14ac:dyDescent="0.3">
      <c r="B38" s="62"/>
      <c r="C38" s="28"/>
      <c r="D38" s="66"/>
      <c r="F38" s="62"/>
      <c r="G38" s="28"/>
      <c r="H38" s="66"/>
      <c r="J38" s="62"/>
      <c r="K38" s="28"/>
      <c r="L38" s="75"/>
    </row>
    <row r="39" spans="2:13" s="30" customFormat="1" ht="18.75" x14ac:dyDescent="0.3">
      <c r="B39" s="62"/>
      <c r="C39" s="28"/>
      <c r="D39" s="66"/>
      <c r="F39" s="62"/>
      <c r="G39" s="28"/>
      <c r="H39" s="66"/>
      <c r="J39" s="62"/>
      <c r="K39" s="28"/>
      <c r="L39" s="75"/>
    </row>
    <row r="40" spans="2:13" s="30" customFormat="1" ht="18.75" x14ac:dyDescent="0.3">
      <c r="B40" s="67" t="s">
        <v>32</v>
      </c>
      <c r="C40" s="30">
        <f>COUNT(C5:C12)</f>
        <v>7</v>
      </c>
      <c r="D40" s="66">
        <f>COUNT(D5:D12)</f>
        <v>7</v>
      </c>
      <c r="F40" s="67" t="s">
        <v>32</v>
      </c>
      <c r="G40" s="30">
        <f>COUNT(G5:G12)</f>
        <v>8</v>
      </c>
      <c r="H40" s="66">
        <f>COUNT(H5:H12)</f>
        <v>7</v>
      </c>
      <c r="J40" s="67" t="s">
        <v>32</v>
      </c>
      <c r="K40" s="30">
        <f>COUNT(K5:K12)</f>
        <v>5</v>
      </c>
      <c r="L40" s="129">
        <f>COUNT(L5:L12)</f>
        <v>1</v>
      </c>
    </row>
    <row r="41" spans="2:13" s="30" customFormat="1" ht="18.75" x14ac:dyDescent="0.3">
      <c r="B41" s="67" t="s">
        <v>25</v>
      </c>
      <c r="C41" s="30">
        <f>SUM(C5:C39)</f>
        <v>52.6</v>
      </c>
      <c r="D41" s="66">
        <f>SUM(D5:D39)</f>
        <v>52.900000000000006</v>
      </c>
      <c r="F41" s="67" t="s">
        <v>25</v>
      </c>
      <c r="G41" s="30">
        <f>SUM(G5:G39)</f>
        <v>60</v>
      </c>
      <c r="H41" s="66">
        <f>SUM(H5:H39)</f>
        <v>52.900000000000006</v>
      </c>
      <c r="J41" s="67" t="s">
        <v>25</v>
      </c>
      <c r="K41" s="30">
        <f>SUM(K5:K39)</f>
        <v>18.29</v>
      </c>
      <c r="L41" s="66">
        <f>SUM(L5:L39)</f>
        <v>3.02</v>
      </c>
    </row>
    <row r="42" spans="2:13" s="30" customFormat="1" ht="18.75" x14ac:dyDescent="0.3">
      <c r="B42" s="67" t="s">
        <v>33</v>
      </c>
      <c r="C42" s="31">
        <f>C41/C40</f>
        <v>7.5142857142857142</v>
      </c>
      <c r="D42" s="68">
        <f>D41/D40</f>
        <v>7.5571428571428578</v>
      </c>
      <c r="F42" s="67" t="s">
        <v>33</v>
      </c>
      <c r="G42" s="31">
        <f>G41/G40</f>
        <v>7.5</v>
      </c>
      <c r="H42" s="68">
        <f>H41/H40</f>
        <v>7.5571428571428578</v>
      </c>
      <c r="J42" s="67" t="s">
        <v>33</v>
      </c>
      <c r="K42" s="27">
        <f>K41/K40</f>
        <v>3.6579999999999999</v>
      </c>
      <c r="L42" s="61">
        <f>L41/L40</f>
        <v>3.02</v>
      </c>
    </row>
    <row r="43" spans="2:13" s="30" customFormat="1" ht="18.75" x14ac:dyDescent="0.3">
      <c r="B43" s="67" t="s">
        <v>34</v>
      </c>
      <c r="C43" s="31">
        <f>_xlfn.STDEV.S(C5:C39)</f>
        <v>0.71046597720221949</v>
      </c>
      <c r="D43" s="68">
        <f>_xlfn.STDEV.S(D5:D39)</f>
        <v>0.63994047342218452</v>
      </c>
      <c r="F43" s="67" t="s">
        <v>34</v>
      </c>
      <c r="G43" s="31">
        <f>_xlfn.STDEV.S(G5:G39)</f>
        <v>0.659003576838331</v>
      </c>
      <c r="H43" s="68">
        <f>_xlfn.STDEV.S(H5:H39)</f>
        <v>0.63994047342218452</v>
      </c>
      <c r="J43" s="67" t="s">
        <v>34</v>
      </c>
      <c r="K43" s="27">
        <f>_xlfn.STDEV.S(K5:K39)</f>
        <v>0.3724513391035128</v>
      </c>
      <c r="L43" s="61"/>
    </row>
    <row r="44" spans="2:13" ht="18.75" x14ac:dyDescent="0.3">
      <c r="B44" s="73"/>
      <c r="D44" s="69"/>
      <c r="F44" s="62"/>
      <c r="G44" s="30"/>
      <c r="H44" s="66"/>
      <c r="J44" s="73"/>
      <c r="L44" s="69"/>
    </row>
    <row r="45" spans="2:13" ht="18.75" x14ac:dyDescent="0.3">
      <c r="B45" s="155" t="s">
        <v>35</v>
      </c>
      <c r="C45" s="26">
        <f>(C42-D42) / SQRT((C43^2+D43^2)/((C40+D40)/2))</f>
        <v>-0.11858541225631625</v>
      </c>
      <c r="D45" s="66"/>
      <c r="E45" s="30"/>
      <c r="F45" s="108" t="s">
        <v>333</v>
      </c>
      <c r="G45" s="26">
        <f>(G42-H42) / SQRT((((G40+1)*G43^2 + (H40-1)*H43^2))/(G40+H40-2) * ((G40+H40)/(G40*H40)))</f>
        <v>-0.15778235735354348</v>
      </c>
      <c r="H45" s="66"/>
      <c r="I45" s="30"/>
      <c r="J45" s="155" t="s">
        <v>35</v>
      </c>
      <c r="K45" s="26">
        <f>(K42-L42) / ((K43) * SQRT((K40+1)/K40))</f>
        <v>1.5637254901960789</v>
      </c>
      <c r="L45" s="66"/>
      <c r="M45" s="27"/>
    </row>
    <row r="46" spans="2:13" ht="21.75" thickBot="1" x14ac:dyDescent="0.4">
      <c r="B46" s="74" t="s">
        <v>37</v>
      </c>
      <c r="C46" s="71">
        <f>(C40+D40) - 2</f>
        <v>12</v>
      </c>
      <c r="D46" s="72"/>
      <c r="F46" s="70" t="s">
        <v>23</v>
      </c>
      <c r="G46" s="71">
        <f xml:space="preserve"> G40 + H40 - 2</f>
        <v>13</v>
      </c>
      <c r="H46" s="72"/>
      <c r="J46" s="74" t="s">
        <v>37</v>
      </c>
      <c r="K46" s="71">
        <f>(K40+L40) - 2</f>
        <v>4</v>
      </c>
      <c r="L46" s="72"/>
    </row>
    <row r="48" spans="2:13" s="25" customFormat="1" ht="18.75" x14ac:dyDescent="0.3">
      <c r="B48" s="25" t="s">
        <v>184</v>
      </c>
      <c r="J48" s="30" t="s">
        <v>334</v>
      </c>
      <c r="K48" s="30"/>
      <c r="L48" s="30"/>
      <c r="M48" s="30"/>
    </row>
  </sheetData>
  <mergeCells count="3">
    <mergeCell ref="C3:D3"/>
    <mergeCell ref="G3:H3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F3E6-F524-4914-8D4A-42EB1A8AC826}">
  <sheetPr>
    <tabColor rgb="FF00B0F0"/>
  </sheetPr>
  <dimension ref="A1:P105"/>
  <sheetViews>
    <sheetView workbookViewId="0">
      <pane ySplit="9" topLeftCell="A18" activePane="bottomLeft" state="frozen"/>
      <selection pane="bottomLeft" activeCell="X35" sqref="X35"/>
    </sheetView>
  </sheetViews>
  <sheetFormatPr defaultRowHeight="15" x14ac:dyDescent="0.25"/>
  <cols>
    <col min="1" max="1" width="2.5703125" customWidth="1"/>
    <col min="2" max="2" width="12.5703125" customWidth="1"/>
  </cols>
  <sheetData>
    <row r="1" spans="1:16" s="30" customFormat="1" ht="18.75" x14ac:dyDescent="0.3">
      <c r="B1" s="259" t="s">
        <v>245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6" s="25" customFormat="1" ht="19.5" thickBot="1" x14ac:dyDescent="0.35">
      <c r="B2" s="431" t="s">
        <v>182</v>
      </c>
      <c r="C2" s="431"/>
      <c r="D2" s="431"/>
      <c r="E2" s="431"/>
      <c r="F2" s="431"/>
      <c r="G2" s="431"/>
      <c r="H2" s="431"/>
      <c r="I2" s="431"/>
      <c r="J2" s="431"/>
    </row>
    <row r="3" spans="1:16" ht="32.25" thickBot="1" x14ac:dyDescent="0.3">
      <c r="A3" s="130"/>
      <c r="B3" s="131" t="s">
        <v>179</v>
      </c>
      <c r="C3" s="142">
        <v>0.5</v>
      </c>
      <c r="D3" s="132">
        <v>0.8</v>
      </c>
      <c r="E3" s="132">
        <v>0.9</v>
      </c>
      <c r="F3" s="133">
        <v>0.95</v>
      </c>
      <c r="G3" s="132">
        <v>0.98</v>
      </c>
      <c r="H3" s="134">
        <v>0.99</v>
      </c>
    </row>
    <row r="4" spans="1:16" ht="31.5" x14ac:dyDescent="0.25">
      <c r="B4" s="131" t="s">
        <v>180</v>
      </c>
      <c r="C4" s="143">
        <v>0.25</v>
      </c>
      <c r="D4" s="136">
        <v>0.1</v>
      </c>
      <c r="E4" s="436">
        <v>0.05</v>
      </c>
      <c r="F4" s="137">
        <v>2.5000000000000001E-2</v>
      </c>
      <c r="G4" s="440">
        <v>0.01</v>
      </c>
      <c r="H4" s="138">
        <v>5.0000000000000001E-3</v>
      </c>
      <c r="J4" s="631" t="s">
        <v>326</v>
      </c>
      <c r="K4" s="631"/>
      <c r="L4" s="631"/>
      <c r="M4" s="631"/>
      <c r="N4" s="631"/>
      <c r="O4" s="631"/>
      <c r="P4" s="631"/>
    </row>
    <row r="5" spans="1:16" ht="31.5" customHeight="1" thickBot="1" x14ac:dyDescent="0.3">
      <c r="A5" s="130"/>
      <c r="B5" s="432" t="s">
        <v>181</v>
      </c>
      <c r="C5" s="144">
        <v>0.5</v>
      </c>
      <c r="D5" s="135">
        <v>0.2</v>
      </c>
      <c r="E5" s="135">
        <v>0.1</v>
      </c>
      <c r="F5" s="435">
        <v>0.05</v>
      </c>
      <c r="G5" s="135">
        <v>0.02</v>
      </c>
      <c r="H5" s="439">
        <v>0.01</v>
      </c>
      <c r="J5" s="631" t="s">
        <v>327</v>
      </c>
      <c r="K5" s="631"/>
      <c r="L5" s="631"/>
      <c r="M5" s="631"/>
      <c r="N5" s="631"/>
      <c r="O5" s="631"/>
      <c r="P5" s="631"/>
    </row>
    <row r="6" spans="1:16" ht="18.75" x14ac:dyDescent="0.25">
      <c r="A6" s="130"/>
      <c r="B6" s="139" t="s">
        <v>177</v>
      </c>
      <c r="C6" s="152">
        <v>1</v>
      </c>
      <c r="D6" s="152">
        <v>3.0779999999999998</v>
      </c>
      <c r="E6" s="152">
        <v>6.3140000000000001</v>
      </c>
      <c r="F6" s="153">
        <v>12.706</v>
      </c>
      <c r="G6" s="152">
        <v>31.821000000000002</v>
      </c>
      <c r="H6" s="154">
        <v>63.656999999999996</v>
      </c>
      <c r="J6" s="631" t="s">
        <v>328</v>
      </c>
      <c r="K6" s="631"/>
      <c r="L6" s="631"/>
      <c r="M6" s="631"/>
      <c r="N6" s="631"/>
      <c r="O6" s="631"/>
      <c r="P6" s="631"/>
    </row>
    <row r="7" spans="1:16" ht="18.75" x14ac:dyDescent="0.25">
      <c r="A7" s="130"/>
      <c r="B7" s="140">
        <v>2</v>
      </c>
      <c r="C7" s="146">
        <v>0.81599999999999995</v>
      </c>
      <c r="D7" s="146">
        <v>1.8859999999999999</v>
      </c>
      <c r="E7" s="146">
        <v>2.92</v>
      </c>
      <c r="F7" s="147">
        <v>4.3029999999999999</v>
      </c>
      <c r="G7" s="146">
        <v>6.9649999999999999</v>
      </c>
      <c r="H7" s="148">
        <v>9.9250000000000007</v>
      </c>
      <c r="J7" s="631"/>
      <c r="K7" s="631"/>
      <c r="L7" s="631"/>
      <c r="M7" s="631"/>
      <c r="N7" s="631"/>
      <c r="O7" s="631"/>
      <c r="P7" s="631"/>
    </row>
    <row r="8" spans="1:16" ht="18.75" customHeight="1" x14ac:dyDescent="0.25">
      <c r="A8" s="130"/>
      <c r="B8" s="140">
        <v>3</v>
      </c>
      <c r="C8" s="146">
        <v>0.76500000000000001</v>
      </c>
      <c r="D8" s="146">
        <v>1.6379999999999999</v>
      </c>
      <c r="E8" s="146">
        <v>2.3530000000000002</v>
      </c>
      <c r="F8" s="147">
        <v>3.1819999999999999</v>
      </c>
      <c r="G8" s="438">
        <v>4.5410000000000004</v>
      </c>
      <c r="H8" s="437">
        <v>5.8410000000000002</v>
      </c>
      <c r="J8" s="631" t="s">
        <v>329</v>
      </c>
      <c r="K8" s="631"/>
      <c r="L8" s="631"/>
      <c r="M8" s="631"/>
      <c r="N8" s="631"/>
      <c r="O8" s="631"/>
      <c r="P8" s="631"/>
    </row>
    <row r="9" spans="1:16" ht="18.75" x14ac:dyDescent="0.25">
      <c r="A9" s="130"/>
      <c r="B9" s="140">
        <v>4</v>
      </c>
      <c r="C9" s="146">
        <v>0.74099999999999999</v>
      </c>
      <c r="D9" s="146">
        <v>1.5329999999999999</v>
      </c>
      <c r="E9" s="433">
        <v>2.1320000000000001</v>
      </c>
      <c r="F9" s="434">
        <v>2.7759999999999998</v>
      </c>
      <c r="G9" s="146">
        <v>3.7469999999999999</v>
      </c>
      <c r="H9" s="148">
        <v>4.6040000000000001</v>
      </c>
      <c r="J9" s="631"/>
      <c r="K9" s="631"/>
      <c r="L9" s="631"/>
      <c r="M9" s="631"/>
      <c r="N9" s="631"/>
      <c r="O9" s="631"/>
      <c r="P9" s="631"/>
    </row>
    <row r="10" spans="1:16" ht="18.75" x14ac:dyDescent="0.25">
      <c r="A10" s="130"/>
      <c r="B10" s="140">
        <v>5</v>
      </c>
      <c r="C10" s="146">
        <v>0.72699999999999998</v>
      </c>
      <c r="D10" s="146">
        <v>1.476</v>
      </c>
      <c r="E10" s="146">
        <v>2.0150000000000001</v>
      </c>
      <c r="F10" s="147">
        <v>2.5710000000000002</v>
      </c>
      <c r="G10" s="146">
        <v>3.3650000000000002</v>
      </c>
      <c r="H10" s="148">
        <v>4.032</v>
      </c>
    </row>
    <row r="11" spans="1:16" ht="18.75" x14ac:dyDescent="0.25">
      <c r="A11" s="130"/>
      <c r="B11" s="140">
        <v>6</v>
      </c>
      <c r="C11" s="146">
        <v>0.71799999999999997</v>
      </c>
      <c r="D11" s="146">
        <v>1.44</v>
      </c>
      <c r="E11" s="146">
        <v>1.9430000000000001</v>
      </c>
      <c r="F11" s="147">
        <v>2.4470000000000001</v>
      </c>
      <c r="G11" s="146">
        <v>3.1429999999999998</v>
      </c>
      <c r="H11" s="148">
        <v>3.7069999999999999</v>
      </c>
    </row>
    <row r="12" spans="1:16" ht="18.75" x14ac:dyDescent="0.25">
      <c r="A12" s="130"/>
      <c r="B12" s="140">
        <v>7</v>
      </c>
      <c r="C12" s="146">
        <v>0.71099999999999997</v>
      </c>
      <c r="D12" s="146">
        <v>1.415</v>
      </c>
      <c r="E12" s="146">
        <v>1.895</v>
      </c>
      <c r="F12" s="147">
        <v>2.3650000000000002</v>
      </c>
      <c r="G12" s="146">
        <v>2.9980000000000002</v>
      </c>
      <c r="H12" s="148">
        <v>3.4990000000000001</v>
      </c>
    </row>
    <row r="13" spans="1:16" ht="18.75" x14ac:dyDescent="0.25">
      <c r="A13" s="130"/>
      <c r="B13" s="140">
        <v>8</v>
      </c>
      <c r="C13" s="146">
        <v>0.70599999999999996</v>
      </c>
      <c r="D13" s="146">
        <v>1.397</v>
      </c>
      <c r="E13" s="146">
        <v>1.86</v>
      </c>
      <c r="F13" s="147">
        <v>2.306</v>
      </c>
      <c r="G13" s="146">
        <v>2.8959999999999999</v>
      </c>
      <c r="H13" s="148">
        <v>3.355</v>
      </c>
    </row>
    <row r="14" spans="1:16" ht="18.75" x14ac:dyDescent="0.25">
      <c r="A14" s="130"/>
      <c r="B14" s="140">
        <v>9</v>
      </c>
      <c r="C14" s="146">
        <v>0.70299999999999996</v>
      </c>
      <c r="D14" s="146">
        <v>1.383</v>
      </c>
      <c r="E14" s="146">
        <v>1.833</v>
      </c>
      <c r="F14" s="147">
        <v>2.262</v>
      </c>
      <c r="G14" s="146">
        <v>2.8210000000000002</v>
      </c>
      <c r="H14" s="148">
        <v>3.25</v>
      </c>
    </row>
    <row r="15" spans="1:16" ht="18.75" x14ac:dyDescent="0.25">
      <c r="A15" s="130"/>
      <c r="B15" s="140">
        <v>10</v>
      </c>
      <c r="C15" s="146">
        <v>0.7</v>
      </c>
      <c r="D15" s="146">
        <v>1.3720000000000001</v>
      </c>
      <c r="E15" s="146">
        <v>1.8120000000000001</v>
      </c>
      <c r="F15" s="147">
        <v>2.2280000000000002</v>
      </c>
      <c r="G15" s="146">
        <v>2.7639999999999998</v>
      </c>
      <c r="H15" s="148">
        <v>3.169</v>
      </c>
    </row>
    <row r="16" spans="1:16" ht="18.75" x14ac:dyDescent="0.25">
      <c r="A16" s="130"/>
      <c r="B16" s="140">
        <v>11</v>
      </c>
      <c r="C16" s="146">
        <v>0.69699999999999995</v>
      </c>
      <c r="D16" s="146">
        <v>1.363</v>
      </c>
      <c r="E16" s="146">
        <v>1.796</v>
      </c>
      <c r="F16" s="147">
        <v>2.2010000000000001</v>
      </c>
      <c r="G16" s="146">
        <v>2.718</v>
      </c>
      <c r="H16" s="148">
        <v>3.1059999999999999</v>
      </c>
    </row>
    <row r="17" spans="1:8" ht="18.75" x14ac:dyDescent="0.25">
      <c r="A17" s="130"/>
      <c r="B17" s="140">
        <v>12</v>
      </c>
      <c r="C17" s="146">
        <v>0.69499999999999995</v>
      </c>
      <c r="D17" s="146">
        <v>1.3560000000000001</v>
      </c>
      <c r="E17" s="146">
        <v>1.782</v>
      </c>
      <c r="F17" s="147">
        <v>2.1789999999999998</v>
      </c>
      <c r="G17" s="146">
        <v>2.681</v>
      </c>
      <c r="H17" s="148">
        <v>3.0550000000000002</v>
      </c>
    </row>
    <row r="18" spans="1:8" ht="18.75" x14ac:dyDescent="0.25">
      <c r="A18" s="130"/>
      <c r="B18" s="140">
        <v>13</v>
      </c>
      <c r="C18" s="146">
        <v>0.69399999999999995</v>
      </c>
      <c r="D18" s="146">
        <v>1.35</v>
      </c>
      <c r="E18" s="146">
        <v>1.7709999999999999</v>
      </c>
      <c r="F18" s="147">
        <v>2.16</v>
      </c>
      <c r="G18" s="146">
        <v>2.65</v>
      </c>
      <c r="H18" s="148">
        <v>3.012</v>
      </c>
    </row>
    <row r="19" spans="1:8" ht="18.75" x14ac:dyDescent="0.25">
      <c r="A19" s="130"/>
      <c r="B19" s="140">
        <v>14</v>
      </c>
      <c r="C19" s="146">
        <v>0.69199999999999995</v>
      </c>
      <c r="D19" s="146">
        <v>1.345</v>
      </c>
      <c r="E19" s="146">
        <v>1.7609999999999999</v>
      </c>
      <c r="F19" s="147">
        <v>2.145</v>
      </c>
      <c r="G19" s="146">
        <v>2.6240000000000001</v>
      </c>
      <c r="H19" s="148">
        <v>2.9769999999999999</v>
      </c>
    </row>
    <row r="20" spans="1:8" ht="18.75" x14ac:dyDescent="0.25">
      <c r="A20" s="130"/>
      <c r="B20" s="140">
        <v>15</v>
      </c>
      <c r="C20" s="146">
        <v>0.69099999999999995</v>
      </c>
      <c r="D20" s="146">
        <v>1.341</v>
      </c>
      <c r="E20" s="146">
        <v>1.7529999999999999</v>
      </c>
      <c r="F20" s="147">
        <v>2.1309999999999998</v>
      </c>
      <c r="G20" s="146">
        <v>2.6019999999999999</v>
      </c>
      <c r="H20" s="148">
        <v>2.9470000000000001</v>
      </c>
    </row>
    <row r="21" spans="1:8" ht="18.75" x14ac:dyDescent="0.25">
      <c r="A21" s="130"/>
      <c r="B21" s="140">
        <v>16</v>
      </c>
      <c r="C21" s="146">
        <v>0.69</v>
      </c>
      <c r="D21" s="146">
        <v>1.337</v>
      </c>
      <c r="E21" s="146">
        <v>1.746</v>
      </c>
      <c r="F21" s="147">
        <v>2.12</v>
      </c>
      <c r="G21" s="146">
        <v>2.5830000000000002</v>
      </c>
      <c r="H21" s="148">
        <v>2.9209999999999998</v>
      </c>
    </row>
    <row r="22" spans="1:8" ht="18.75" x14ac:dyDescent="0.25">
      <c r="A22" s="130"/>
      <c r="B22" s="140">
        <v>17</v>
      </c>
      <c r="C22" s="146">
        <v>0.68899999999999995</v>
      </c>
      <c r="D22" s="146">
        <v>1.333</v>
      </c>
      <c r="E22" s="146">
        <v>1.74</v>
      </c>
      <c r="F22" s="147">
        <v>2.11</v>
      </c>
      <c r="G22" s="146">
        <v>2.5670000000000002</v>
      </c>
      <c r="H22" s="148">
        <v>2.8980000000000001</v>
      </c>
    </row>
    <row r="23" spans="1:8" ht="18.75" x14ac:dyDescent="0.25">
      <c r="A23" s="130"/>
      <c r="B23" s="140">
        <v>18</v>
      </c>
      <c r="C23" s="146">
        <v>0.68799999999999994</v>
      </c>
      <c r="D23" s="146">
        <v>1.33</v>
      </c>
      <c r="E23" s="146">
        <v>1.734</v>
      </c>
      <c r="F23" s="147">
        <v>2.101</v>
      </c>
      <c r="G23" s="146">
        <v>2.552</v>
      </c>
      <c r="H23" s="148">
        <v>2.8780000000000001</v>
      </c>
    </row>
    <row r="24" spans="1:8" ht="18.75" x14ac:dyDescent="0.25">
      <c r="A24" s="130"/>
      <c r="B24" s="140">
        <v>19</v>
      </c>
      <c r="C24" s="146">
        <v>0.68799999999999994</v>
      </c>
      <c r="D24" s="146">
        <v>1.3280000000000001</v>
      </c>
      <c r="E24" s="146">
        <v>1.7290000000000001</v>
      </c>
      <c r="F24" s="147">
        <v>2.093</v>
      </c>
      <c r="G24" s="146">
        <v>2.5390000000000001</v>
      </c>
      <c r="H24" s="148">
        <v>2.8610000000000002</v>
      </c>
    </row>
    <row r="25" spans="1:8" ht="18.75" x14ac:dyDescent="0.25">
      <c r="A25" s="130"/>
      <c r="B25" s="140">
        <v>20</v>
      </c>
      <c r="C25" s="146">
        <v>0.68700000000000006</v>
      </c>
      <c r="D25" s="146">
        <v>1.325</v>
      </c>
      <c r="E25" s="146">
        <v>1.7250000000000001</v>
      </c>
      <c r="F25" s="147">
        <v>2.0859999999999999</v>
      </c>
      <c r="G25" s="146">
        <v>2.528</v>
      </c>
      <c r="H25" s="148">
        <v>2.8450000000000002</v>
      </c>
    </row>
    <row r="26" spans="1:8" ht="18.75" x14ac:dyDescent="0.25">
      <c r="A26" s="130"/>
      <c r="B26" s="140">
        <v>21</v>
      </c>
      <c r="C26" s="146">
        <v>0.68600000000000005</v>
      </c>
      <c r="D26" s="146">
        <v>1.323</v>
      </c>
      <c r="E26" s="146">
        <v>1.7210000000000001</v>
      </c>
      <c r="F26" s="147">
        <v>2.08</v>
      </c>
      <c r="G26" s="146">
        <v>2.5179999999999998</v>
      </c>
      <c r="H26" s="148">
        <v>2.831</v>
      </c>
    </row>
    <row r="27" spans="1:8" ht="18.75" x14ac:dyDescent="0.25">
      <c r="A27" s="130"/>
      <c r="B27" s="140">
        <v>22</v>
      </c>
      <c r="C27" s="146">
        <v>0.68600000000000005</v>
      </c>
      <c r="D27" s="146">
        <v>1.321</v>
      </c>
      <c r="E27" s="146">
        <v>1.7170000000000001</v>
      </c>
      <c r="F27" s="147">
        <v>2.0739999999999998</v>
      </c>
      <c r="G27" s="146">
        <v>2.508</v>
      </c>
      <c r="H27" s="148">
        <v>2.819</v>
      </c>
    </row>
    <row r="28" spans="1:8" ht="18.75" x14ac:dyDescent="0.25">
      <c r="A28" s="130"/>
      <c r="B28" s="140">
        <v>23</v>
      </c>
      <c r="C28" s="146">
        <v>0.68500000000000005</v>
      </c>
      <c r="D28" s="146">
        <v>1.319</v>
      </c>
      <c r="E28" s="146">
        <v>1.714</v>
      </c>
      <c r="F28" s="147">
        <v>2.069</v>
      </c>
      <c r="G28" s="146">
        <v>2.5</v>
      </c>
      <c r="H28" s="148">
        <v>2.8069999999999999</v>
      </c>
    </row>
    <row r="29" spans="1:8" ht="18.75" x14ac:dyDescent="0.25">
      <c r="A29" s="130"/>
      <c r="B29" s="140">
        <v>24</v>
      </c>
      <c r="C29" s="146">
        <v>0.68500000000000005</v>
      </c>
      <c r="D29" s="146">
        <v>1.3180000000000001</v>
      </c>
      <c r="E29" s="146">
        <v>1.7110000000000001</v>
      </c>
      <c r="F29" s="147">
        <v>2.0640000000000001</v>
      </c>
      <c r="G29" s="146">
        <v>2.492</v>
      </c>
      <c r="H29" s="148">
        <v>2.7970000000000002</v>
      </c>
    </row>
    <row r="30" spans="1:8" ht="18.75" x14ac:dyDescent="0.25">
      <c r="A30" s="130"/>
      <c r="B30" s="140">
        <v>25</v>
      </c>
      <c r="C30" s="146">
        <v>0.68400000000000005</v>
      </c>
      <c r="D30" s="146">
        <v>1.3160000000000001</v>
      </c>
      <c r="E30" s="146">
        <v>1.708</v>
      </c>
      <c r="F30" s="147">
        <v>2.06</v>
      </c>
      <c r="G30" s="146">
        <v>2.4849999999999999</v>
      </c>
      <c r="H30" s="148">
        <v>2.7869999999999999</v>
      </c>
    </row>
    <row r="31" spans="1:8" ht="18.75" x14ac:dyDescent="0.25">
      <c r="A31" s="130"/>
      <c r="B31" s="140">
        <v>26</v>
      </c>
      <c r="C31" s="146">
        <v>0.68400000000000005</v>
      </c>
      <c r="D31" s="146">
        <v>1.3149999999999999</v>
      </c>
      <c r="E31" s="146">
        <v>1.706</v>
      </c>
      <c r="F31" s="147">
        <v>2.056</v>
      </c>
      <c r="G31" s="146">
        <v>2.4790000000000001</v>
      </c>
      <c r="H31" s="148">
        <v>2.7789999999999999</v>
      </c>
    </row>
    <row r="32" spans="1:8" ht="18.75" x14ac:dyDescent="0.25">
      <c r="A32" s="130"/>
      <c r="B32" s="140">
        <v>27</v>
      </c>
      <c r="C32" s="146">
        <v>0.68400000000000005</v>
      </c>
      <c r="D32" s="146">
        <v>1.3140000000000001</v>
      </c>
      <c r="E32" s="146">
        <v>1.7030000000000001</v>
      </c>
      <c r="F32" s="147">
        <v>2.052</v>
      </c>
      <c r="G32" s="146">
        <v>2.4729999999999999</v>
      </c>
      <c r="H32" s="148">
        <v>2.7709999999999999</v>
      </c>
    </row>
    <row r="33" spans="1:8" ht="18.75" x14ac:dyDescent="0.25">
      <c r="A33" s="130"/>
      <c r="B33" s="140">
        <v>28</v>
      </c>
      <c r="C33" s="146">
        <v>0.68300000000000005</v>
      </c>
      <c r="D33" s="146">
        <v>1.3129999999999999</v>
      </c>
      <c r="E33" s="146">
        <v>1.7010000000000001</v>
      </c>
      <c r="F33" s="147">
        <v>2.048</v>
      </c>
      <c r="G33" s="146">
        <v>2.4670000000000001</v>
      </c>
      <c r="H33" s="148">
        <v>2.7629999999999999</v>
      </c>
    </row>
    <row r="34" spans="1:8" ht="18.75" x14ac:dyDescent="0.25">
      <c r="A34" s="130"/>
      <c r="B34" s="140">
        <v>29</v>
      </c>
      <c r="C34" s="146">
        <v>0.68300000000000005</v>
      </c>
      <c r="D34" s="146">
        <v>1.3109999999999999</v>
      </c>
      <c r="E34" s="146">
        <v>1.6990000000000001</v>
      </c>
      <c r="F34" s="147">
        <v>2.0449999999999999</v>
      </c>
      <c r="G34" s="146">
        <v>2.4620000000000002</v>
      </c>
      <c r="H34" s="148">
        <v>2.7559999999999998</v>
      </c>
    </row>
    <row r="35" spans="1:8" ht="18.75" x14ac:dyDescent="0.25">
      <c r="A35" s="130"/>
      <c r="B35" s="140">
        <v>30</v>
      </c>
      <c r="C35" s="146">
        <v>0.68300000000000005</v>
      </c>
      <c r="D35" s="146">
        <v>1.31</v>
      </c>
      <c r="E35" s="146">
        <v>1.6970000000000001</v>
      </c>
      <c r="F35" s="147">
        <v>2.0419999999999998</v>
      </c>
      <c r="G35" s="146">
        <v>2.4569999999999999</v>
      </c>
      <c r="H35" s="148">
        <v>2.75</v>
      </c>
    </row>
    <row r="36" spans="1:8" ht="18.75" x14ac:dyDescent="0.25">
      <c r="A36" s="130"/>
      <c r="B36" s="140">
        <v>40</v>
      </c>
      <c r="C36" s="146">
        <v>0.68100000000000005</v>
      </c>
      <c r="D36" s="146">
        <v>1.3029999999999999</v>
      </c>
      <c r="E36" s="146">
        <v>1.6839999999999999</v>
      </c>
      <c r="F36" s="147">
        <v>2.0209999999999999</v>
      </c>
      <c r="G36" s="146">
        <v>2.423</v>
      </c>
      <c r="H36" s="148">
        <v>2.7040000000000002</v>
      </c>
    </row>
    <row r="37" spans="1:8" ht="18.75" x14ac:dyDescent="0.25">
      <c r="A37" s="130"/>
      <c r="B37" s="140">
        <v>50</v>
      </c>
      <c r="C37" s="146">
        <v>0.67900000000000005</v>
      </c>
      <c r="D37" s="146">
        <v>1.2989999999999999</v>
      </c>
      <c r="E37" s="146">
        <v>1.6759999999999999</v>
      </c>
      <c r="F37" s="147">
        <v>2.0089999999999999</v>
      </c>
      <c r="G37" s="146">
        <v>2.403</v>
      </c>
      <c r="H37" s="148">
        <v>2.6779999999999999</v>
      </c>
    </row>
    <row r="38" spans="1:8" ht="18.75" x14ac:dyDescent="0.25">
      <c r="A38" s="130"/>
      <c r="B38" s="140">
        <v>60</v>
      </c>
      <c r="C38" s="146">
        <v>0.67900000000000005</v>
      </c>
      <c r="D38" s="146">
        <v>1.296</v>
      </c>
      <c r="E38" s="146">
        <v>1.671</v>
      </c>
      <c r="F38" s="147">
        <v>2</v>
      </c>
      <c r="G38" s="146">
        <v>2.39</v>
      </c>
      <c r="H38" s="148">
        <v>2.66</v>
      </c>
    </row>
    <row r="39" spans="1:8" ht="18.75" x14ac:dyDescent="0.25">
      <c r="A39" s="130"/>
      <c r="B39" s="140">
        <v>70</v>
      </c>
      <c r="C39" s="146">
        <v>0.67800000000000005</v>
      </c>
      <c r="D39" s="146">
        <v>1.294</v>
      </c>
      <c r="E39" s="146">
        <v>1.667</v>
      </c>
      <c r="F39" s="147">
        <v>1.994</v>
      </c>
      <c r="G39" s="146">
        <v>2.3809999999999998</v>
      </c>
      <c r="H39" s="148">
        <v>2.6480000000000001</v>
      </c>
    </row>
    <row r="40" spans="1:8" ht="18.75" x14ac:dyDescent="0.25">
      <c r="A40" s="130"/>
      <c r="B40" s="140">
        <v>80</v>
      </c>
      <c r="C40" s="146">
        <v>0.67800000000000005</v>
      </c>
      <c r="D40" s="146">
        <v>1.292</v>
      </c>
      <c r="E40" s="146">
        <v>1.6639999999999999</v>
      </c>
      <c r="F40" s="147">
        <v>1.99</v>
      </c>
      <c r="G40" s="146">
        <v>2.3740000000000001</v>
      </c>
      <c r="H40" s="148">
        <v>2.6389999999999998</v>
      </c>
    </row>
    <row r="41" spans="1:8" ht="18.75" x14ac:dyDescent="0.25">
      <c r="A41" s="130"/>
      <c r="B41" s="140">
        <v>90</v>
      </c>
      <c r="C41" s="146">
        <v>0.67700000000000005</v>
      </c>
      <c r="D41" s="146">
        <v>1.2909999999999999</v>
      </c>
      <c r="E41" s="146">
        <v>1.6619999999999999</v>
      </c>
      <c r="F41" s="147">
        <v>1.9870000000000001</v>
      </c>
      <c r="G41" s="146">
        <v>2.3679999999999999</v>
      </c>
      <c r="H41" s="148">
        <v>2.6320000000000001</v>
      </c>
    </row>
    <row r="42" spans="1:8" ht="18.75" x14ac:dyDescent="0.25">
      <c r="A42" s="130"/>
      <c r="B42" s="140">
        <v>100</v>
      </c>
      <c r="C42" s="146">
        <v>0.67700000000000005</v>
      </c>
      <c r="D42" s="146">
        <v>1.29</v>
      </c>
      <c r="E42" s="146">
        <v>1.66</v>
      </c>
      <c r="F42" s="147">
        <v>1.984</v>
      </c>
      <c r="G42" s="146">
        <v>2.3639999999999999</v>
      </c>
      <c r="H42" s="148">
        <v>2.6259999999999999</v>
      </c>
    </row>
    <row r="43" spans="1:8" ht="19.5" thickBot="1" x14ac:dyDescent="0.3">
      <c r="A43" s="130"/>
      <c r="B43" s="141" t="s">
        <v>178</v>
      </c>
      <c r="C43" s="149">
        <v>0.67400000000000004</v>
      </c>
      <c r="D43" s="149">
        <v>1.282</v>
      </c>
      <c r="E43" s="149">
        <v>1.645</v>
      </c>
      <c r="F43" s="150">
        <v>1.96</v>
      </c>
      <c r="G43" s="149">
        <v>2.3260000000000001</v>
      </c>
      <c r="H43" s="151">
        <v>2.5760000000000001</v>
      </c>
    </row>
    <row r="44" spans="1:8" x14ac:dyDescent="0.25">
      <c r="A44" s="130"/>
    </row>
    <row r="45" spans="1:8" x14ac:dyDescent="0.25">
      <c r="A45" s="130"/>
    </row>
    <row r="46" spans="1:8" x14ac:dyDescent="0.25">
      <c r="A46" s="130"/>
    </row>
    <row r="47" spans="1:8" x14ac:dyDescent="0.25">
      <c r="A47" s="130"/>
    </row>
    <row r="48" spans="1:8" x14ac:dyDescent="0.25">
      <c r="A48" s="130"/>
    </row>
    <row r="49" spans="1:1" x14ac:dyDescent="0.25">
      <c r="A49" s="130"/>
    </row>
    <row r="50" spans="1:1" x14ac:dyDescent="0.25">
      <c r="A50" s="130"/>
    </row>
    <row r="51" spans="1:1" x14ac:dyDescent="0.25">
      <c r="A51" s="130"/>
    </row>
    <row r="52" spans="1:1" x14ac:dyDescent="0.25">
      <c r="A52" s="130"/>
    </row>
    <row r="53" spans="1:1" x14ac:dyDescent="0.25">
      <c r="A53" s="130"/>
    </row>
    <row r="54" spans="1:1" x14ac:dyDescent="0.25">
      <c r="A54" s="130"/>
    </row>
    <row r="55" spans="1:1" x14ac:dyDescent="0.25">
      <c r="A55" s="130"/>
    </row>
    <row r="56" spans="1:1" x14ac:dyDescent="0.25">
      <c r="A56" s="130"/>
    </row>
    <row r="57" spans="1:1" x14ac:dyDescent="0.25">
      <c r="A57" s="130"/>
    </row>
    <row r="58" spans="1:1" x14ac:dyDescent="0.25">
      <c r="A58" s="130"/>
    </row>
    <row r="59" spans="1:1" x14ac:dyDescent="0.25">
      <c r="A59" s="130"/>
    </row>
    <row r="60" spans="1:1" x14ac:dyDescent="0.25">
      <c r="A60" s="130"/>
    </row>
    <row r="61" spans="1:1" x14ac:dyDescent="0.25">
      <c r="A61" s="130"/>
    </row>
    <row r="62" spans="1:1" x14ac:dyDescent="0.25">
      <c r="A62" s="130"/>
    </row>
    <row r="63" spans="1:1" x14ac:dyDescent="0.25">
      <c r="A63" s="130"/>
    </row>
    <row r="64" spans="1:1" x14ac:dyDescent="0.25">
      <c r="A64" s="130"/>
    </row>
    <row r="65" spans="1:1" x14ac:dyDescent="0.25">
      <c r="A65" s="130"/>
    </row>
    <row r="66" spans="1:1" x14ac:dyDescent="0.25">
      <c r="A66" s="130"/>
    </row>
    <row r="67" spans="1:1" x14ac:dyDescent="0.25">
      <c r="A67" s="130"/>
    </row>
    <row r="68" spans="1:1" x14ac:dyDescent="0.25">
      <c r="A68" s="130"/>
    </row>
    <row r="69" spans="1:1" x14ac:dyDescent="0.25">
      <c r="A69" s="130"/>
    </row>
    <row r="70" spans="1:1" x14ac:dyDescent="0.25">
      <c r="A70" s="130"/>
    </row>
    <row r="71" spans="1:1" x14ac:dyDescent="0.25">
      <c r="A71" s="130"/>
    </row>
    <row r="72" spans="1:1" x14ac:dyDescent="0.25">
      <c r="A72" s="130"/>
    </row>
    <row r="73" spans="1:1" x14ac:dyDescent="0.25">
      <c r="A73" s="130"/>
    </row>
    <row r="74" spans="1:1" x14ac:dyDescent="0.25">
      <c r="A74" s="130"/>
    </row>
    <row r="75" spans="1:1" x14ac:dyDescent="0.25">
      <c r="A75" s="130"/>
    </row>
    <row r="76" spans="1:1" x14ac:dyDescent="0.25">
      <c r="A76" s="130"/>
    </row>
    <row r="77" spans="1:1" x14ac:dyDescent="0.25">
      <c r="A77" s="130"/>
    </row>
    <row r="78" spans="1:1" x14ac:dyDescent="0.25">
      <c r="A78" s="130"/>
    </row>
    <row r="79" spans="1:1" x14ac:dyDescent="0.25">
      <c r="A79" s="130"/>
    </row>
    <row r="80" spans="1:1" x14ac:dyDescent="0.25">
      <c r="A80" s="130"/>
    </row>
    <row r="81" spans="1:1" x14ac:dyDescent="0.25">
      <c r="A81" s="130"/>
    </row>
    <row r="82" spans="1:1" x14ac:dyDescent="0.25">
      <c r="A82" s="130"/>
    </row>
    <row r="83" spans="1:1" x14ac:dyDescent="0.25">
      <c r="A83" s="130"/>
    </row>
    <row r="84" spans="1:1" x14ac:dyDescent="0.25">
      <c r="A84" s="130"/>
    </row>
    <row r="85" spans="1:1" x14ac:dyDescent="0.25">
      <c r="A85" s="130"/>
    </row>
    <row r="86" spans="1:1" x14ac:dyDescent="0.25">
      <c r="A86" s="130"/>
    </row>
    <row r="87" spans="1:1" x14ac:dyDescent="0.25">
      <c r="A87" s="130"/>
    </row>
    <row r="88" spans="1:1" x14ac:dyDescent="0.25">
      <c r="A88" s="130"/>
    </row>
    <row r="89" spans="1:1" x14ac:dyDescent="0.25">
      <c r="A89" s="130"/>
    </row>
    <row r="90" spans="1:1" x14ac:dyDescent="0.25">
      <c r="A90" s="130"/>
    </row>
    <row r="91" spans="1:1" x14ac:dyDescent="0.25">
      <c r="A91" s="130"/>
    </row>
    <row r="92" spans="1:1" x14ac:dyDescent="0.25">
      <c r="A92" s="130"/>
    </row>
    <row r="93" spans="1:1" x14ac:dyDescent="0.25">
      <c r="A93" s="130"/>
    </row>
    <row r="94" spans="1:1" x14ac:dyDescent="0.25">
      <c r="A94" s="130"/>
    </row>
    <row r="95" spans="1:1" x14ac:dyDescent="0.25">
      <c r="A95" s="130"/>
    </row>
    <row r="96" spans="1:1" x14ac:dyDescent="0.25">
      <c r="A96" s="130"/>
    </row>
    <row r="97" spans="1:1" x14ac:dyDescent="0.25">
      <c r="A97" s="130"/>
    </row>
    <row r="98" spans="1:1" x14ac:dyDescent="0.25">
      <c r="A98" s="130"/>
    </row>
    <row r="99" spans="1:1" x14ac:dyDescent="0.25">
      <c r="A99" s="130"/>
    </row>
    <row r="100" spans="1:1" x14ac:dyDescent="0.25">
      <c r="A100" s="130"/>
    </row>
    <row r="101" spans="1:1" x14ac:dyDescent="0.25">
      <c r="A101" s="130"/>
    </row>
    <row r="102" spans="1:1" x14ac:dyDescent="0.25">
      <c r="A102" s="130"/>
    </row>
    <row r="103" spans="1:1" x14ac:dyDescent="0.25">
      <c r="A103" s="130"/>
    </row>
    <row r="104" spans="1:1" x14ac:dyDescent="0.25">
      <c r="A104" s="130"/>
    </row>
    <row r="105" spans="1:1" x14ac:dyDescent="0.25">
      <c r="A105" s="130"/>
    </row>
  </sheetData>
  <mergeCells count="4">
    <mergeCell ref="J5:P5"/>
    <mergeCell ref="J4:P4"/>
    <mergeCell ref="J8:P9"/>
    <mergeCell ref="J6:P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8C2D-889E-4C95-8793-42CF84AF0FAC}">
  <sheetPr>
    <tabColor rgb="FFFF40FF"/>
  </sheetPr>
  <dimension ref="A1:U60"/>
  <sheetViews>
    <sheetView workbookViewId="0">
      <pane ySplit="2" topLeftCell="A3" activePane="bottomLeft" state="frozen"/>
      <selection pane="bottomLeft" activeCell="L57" sqref="L57"/>
    </sheetView>
  </sheetViews>
  <sheetFormatPr defaultRowHeight="15" x14ac:dyDescent="0.25"/>
  <cols>
    <col min="1" max="1" width="2.5703125" customWidth="1"/>
    <col min="2" max="6" width="12.5703125" customWidth="1"/>
    <col min="9" max="10" width="15.5703125" customWidth="1"/>
    <col min="12" max="16" width="12.5703125" customWidth="1"/>
    <col min="19" max="21" width="15.5703125" customWidth="1"/>
  </cols>
  <sheetData>
    <row r="1" spans="2:21" s="145" customFormat="1" ht="20.100000000000001" customHeight="1" x14ac:dyDescent="0.25">
      <c r="B1" s="245" t="s">
        <v>245</v>
      </c>
      <c r="C1" s="248"/>
      <c r="D1" s="248"/>
      <c r="E1" s="248"/>
      <c r="F1" s="248"/>
      <c r="G1" s="248"/>
      <c r="H1" s="248"/>
      <c r="I1" s="248"/>
      <c r="J1" s="248"/>
      <c r="L1" s="245" t="s">
        <v>245</v>
      </c>
      <c r="M1" s="248"/>
      <c r="N1" s="248"/>
      <c r="O1" s="248"/>
      <c r="P1" s="248"/>
      <c r="Q1" s="248"/>
      <c r="R1" s="248"/>
      <c r="S1" s="248"/>
      <c r="T1" s="248"/>
    </row>
    <row r="2" spans="2:21" s="3" customFormat="1" ht="21" x14ac:dyDescent="0.35">
      <c r="B2" s="584" t="s">
        <v>140</v>
      </c>
      <c r="C2" s="584"/>
      <c r="D2" s="584"/>
      <c r="E2" s="584"/>
      <c r="F2" s="584"/>
      <c r="G2" s="584"/>
      <c r="H2" s="584"/>
      <c r="I2" s="584"/>
      <c r="J2" s="9"/>
      <c r="L2" s="584" t="s">
        <v>140</v>
      </c>
      <c r="M2" s="584"/>
      <c r="N2" s="584"/>
      <c r="O2" s="584"/>
      <c r="P2" s="584"/>
      <c r="Q2" s="584"/>
      <c r="R2" s="584"/>
      <c r="S2" s="584"/>
      <c r="T2" s="9"/>
      <c r="U2" s="9"/>
    </row>
    <row r="3" spans="2:21" s="3" customFormat="1" ht="21.75" thickBot="1" x14ac:dyDescent="0.4"/>
    <row r="4" spans="2:21" s="30" customFormat="1" ht="19.5" thickBot="1" x14ac:dyDescent="0.35">
      <c r="C4" s="5" t="s">
        <v>0</v>
      </c>
      <c r="D4" s="6" t="s">
        <v>1</v>
      </c>
      <c r="E4" s="7" t="s">
        <v>2</v>
      </c>
      <c r="F4" s="8" t="s">
        <v>3</v>
      </c>
      <c r="M4" s="5" t="s">
        <v>0</v>
      </c>
      <c r="N4" s="6" t="s">
        <v>1</v>
      </c>
      <c r="O4" s="7" t="s">
        <v>2</v>
      </c>
      <c r="P4" s="8" t="s">
        <v>3</v>
      </c>
      <c r="S4" s="7" t="s">
        <v>0</v>
      </c>
      <c r="T4" s="163" t="s">
        <v>1</v>
      </c>
      <c r="U4" s="8" t="s">
        <v>321</v>
      </c>
    </row>
    <row r="5" spans="2:21" s="30" customFormat="1" ht="18.75" x14ac:dyDescent="0.3">
      <c r="C5" s="169">
        <v>7.2</v>
      </c>
      <c r="D5" s="170">
        <v>8.8000000000000007</v>
      </c>
      <c r="E5" s="30">
        <f>C5^2</f>
        <v>51.84</v>
      </c>
      <c r="F5" s="30">
        <f>D5^2</f>
        <v>77.440000000000012</v>
      </c>
      <c r="M5" s="30">
        <v>96</v>
      </c>
      <c r="N5" s="30">
        <v>102</v>
      </c>
      <c r="O5" s="30">
        <f>M5^2</f>
        <v>9216</v>
      </c>
      <c r="P5" s="30">
        <f>N5^2</f>
        <v>10404</v>
      </c>
      <c r="S5" s="30">
        <f ca="1">RANDBETWEEN(90,110)</f>
        <v>92</v>
      </c>
      <c r="T5" s="30">
        <f ca="1">RANDBETWEEN(100,120)</f>
        <v>111</v>
      </c>
      <c r="U5" s="30">
        <f ca="1">RANDBETWEEN(110,120)</f>
        <v>112</v>
      </c>
    </row>
    <row r="6" spans="2:21" s="30" customFormat="1" ht="18.75" x14ac:dyDescent="0.3">
      <c r="C6" s="171">
        <v>7.1</v>
      </c>
      <c r="D6" s="172">
        <v>7.5</v>
      </c>
      <c r="E6" s="30">
        <f t="shared" ref="E6:F11" si="0">C6^2</f>
        <v>50.41</v>
      </c>
      <c r="F6" s="30">
        <f t="shared" si="0"/>
        <v>56.25</v>
      </c>
      <c r="M6" s="30">
        <v>105</v>
      </c>
      <c r="N6" s="30">
        <v>102</v>
      </c>
      <c r="O6" s="30">
        <f t="shared" ref="O6:O44" si="1">M6^2</f>
        <v>11025</v>
      </c>
      <c r="P6" s="30">
        <f t="shared" ref="P6:P44" si="2">N6^2</f>
        <v>10404</v>
      </c>
      <c r="S6" s="30">
        <f t="shared" ref="S6:S24" ca="1" si="3">RANDBETWEEN(95,105)</f>
        <v>105</v>
      </c>
      <c r="T6" s="30">
        <f t="shared" ref="T6:T24" ca="1" si="4">RANDBETWEEN(100,120)</f>
        <v>120</v>
      </c>
      <c r="U6" s="30">
        <f t="shared" ref="U6:U44" ca="1" si="5">RANDBETWEEN(110,120)</f>
        <v>118</v>
      </c>
    </row>
    <row r="7" spans="2:21" s="30" customFormat="1" ht="18.75" x14ac:dyDescent="0.3">
      <c r="C7" s="171">
        <v>9.1</v>
      </c>
      <c r="D7" s="172">
        <v>7.7</v>
      </c>
      <c r="E7" s="30">
        <f t="shared" si="0"/>
        <v>82.809999999999988</v>
      </c>
      <c r="F7" s="30">
        <f t="shared" si="0"/>
        <v>59.290000000000006</v>
      </c>
      <c r="M7" s="30">
        <v>101</v>
      </c>
      <c r="N7" s="30">
        <v>119</v>
      </c>
      <c r="O7" s="30">
        <f t="shared" si="1"/>
        <v>10201</v>
      </c>
      <c r="P7" s="30">
        <f t="shared" si="2"/>
        <v>14161</v>
      </c>
      <c r="S7" s="30">
        <f t="shared" ca="1" si="3"/>
        <v>100</v>
      </c>
      <c r="T7" s="30">
        <f t="shared" ca="1" si="4"/>
        <v>102</v>
      </c>
      <c r="U7" s="30">
        <f t="shared" ca="1" si="5"/>
        <v>110</v>
      </c>
    </row>
    <row r="8" spans="2:21" s="30" customFormat="1" ht="18.75" x14ac:dyDescent="0.3">
      <c r="C8" s="171">
        <v>7.2</v>
      </c>
      <c r="D8" s="172">
        <v>7.6</v>
      </c>
      <c r="E8" s="30">
        <f t="shared" si="0"/>
        <v>51.84</v>
      </c>
      <c r="F8" s="30">
        <f t="shared" si="0"/>
        <v>57.76</v>
      </c>
      <c r="M8" s="30">
        <v>99</v>
      </c>
      <c r="N8" s="30">
        <v>110</v>
      </c>
      <c r="O8" s="30">
        <f t="shared" si="1"/>
        <v>9801</v>
      </c>
      <c r="P8" s="30">
        <f t="shared" si="2"/>
        <v>12100</v>
      </c>
      <c r="S8" s="30">
        <f t="shared" ca="1" si="3"/>
        <v>99</v>
      </c>
      <c r="T8" s="30">
        <f t="shared" ca="1" si="4"/>
        <v>107</v>
      </c>
      <c r="U8" s="30">
        <f t="shared" ca="1" si="5"/>
        <v>115</v>
      </c>
    </row>
    <row r="9" spans="2:21" s="30" customFormat="1" ht="18.75" x14ac:dyDescent="0.3">
      <c r="C9" s="171">
        <v>7.3</v>
      </c>
      <c r="D9" s="172">
        <v>7.4</v>
      </c>
      <c r="E9" s="30">
        <f t="shared" si="0"/>
        <v>53.29</v>
      </c>
      <c r="F9" s="30">
        <f t="shared" si="0"/>
        <v>54.760000000000005</v>
      </c>
      <c r="M9" s="30">
        <v>104</v>
      </c>
      <c r="N9" s="30">
        <v>111</v>
      </c>
      <c r="O9" s="30">
        <f t="shared" si="1"/>
        <v>10816</v>
      </c>
      <c r="P9" s="30">
        <f t="shared" si="2"/>
        <v>12321</v>
      </c>
      <c r="S9" s="30">
        <f ca="1">RANDBETWEEN(95,105)</f>
        <v>105</v>
      </c>
      <c r="T9" s="30">
        <f t="shared" ca="1" si="4"/>
        <v>105</v>
      </c>
      <c r="U9" s="30">
        <f t="shared" ca="1" si="5"/>
        <v>112</v>
      </c>
    </row>
    <row r="10" spans="2:21" s="30" customFormat="1" ht="18.75" x14ac:dyDescent="0.3">
      <c r="C10" s="171">
        <v>7.2</v>
      </c>
      <c r="D10" s="172">
        <v>6.7</v>
      </c>
      <c r="E10" s="30">
        <f t="shared" si="0"/>
        <v>51.84</v>
      </c>
      <c r="F10" s="30">
        <f t="shared" si="0"/>
        <v>44.89</v>
      </c>
      <c r="M10" s="30">
        <v>95</v>
      </c>
      <c r="N10" s="30">
        <v>103</v>
      </c>
      <c r="O10" s="30">
        <f t="shared" si="1"/>
        <v>9025</v>
      </c>
      <c r="P10" s="30">
        <f t="shared" si="2"/>
        <v>10609</v>
      </c>
      <c r="S10" s="30">
        <f t="shared" ca="1" si="3"/>
        <v>99</v>
      </c>
      <c r="T10" s="30">
        <f t="shared" ca="1" si="4"/>
        <v>104</v>
      </c>
      <c r="U10" s="30">
        <f t="shared" ca="1" si="5"/>
        <v>110</v>
      </c>
    </row>
    <row r="11" spans="2:21" s="30" customFormat="1" ht="18.75" x14ac:dyDescent="0.3">
      <c r="C11" s="171">
        <v>7.5</v>
      </c>
      <c r="D11" s="172">
        <v>7.2</v>
      </c>
      <c r="E11" s="30">
        <f t="shared" si="0"/>
        <v>56.25</v>
      </c>
      <c r="F11" s="30">
        <f t="shared" si="0"/>
        <v>51.84</v>
      </c>
      <c r="M11" s="30">
        <v>99</v>
      </c>
      <c r="N11" s="30">
        <v>118</v>
      </c>
      <c r="O11" s="30">
        <f t="shared" si="1"/>
        <v>9801</v>
      </c>
      <c r="P11" s="30">
        <f t="shared" si="2"/>
        <v>13924</v>
      </c>
      <c r="S11" s="30">
        <f t="shared" ca="1" si="3"/>
        <v>104</v>
      </c>
      <c r="T11" s="30">
        <f t="shared" ca="1" si="4"/>
        <v>112</v>
      </c>
      <c r="U11" s="30">
        <f t="shared" ca="1" si="5"/>
        <v>115</v>
      </c>
    </row>
    <row r="12" spans="2:21" s="30" customFormat="1" ht="18.75" x14ac:dyDescent="0.3">
      <c r="C12" s="28"/>
      <c r="D12" s="29"/>
      <c r="E12" s="30">
        <f t="shared" ref="E12" si="6">C12^2</f>
        <v>0</v>
      </c>
      <c r="F12" s="30">
        <f t="shared" ref="F12" si="7">D12^2</f>
        <v>0</v>
      </c>
      <c r="M12" s="30">
        <v>102</v>
      </c>
      <c r="N12" s="30">
        <v>105</v>
      </c>
      <c r="O12" s="30">
        <f t="shared" si="1"/>
        <v>10404</v>
      </c>
      <c r="P12" s="30">
        <f t="shared" si="2"/>
        <v>11025</v>
      </c>
      <c r="S12" s="30">
        <f t="shared" ca="1" si="3"/>
        <v>97</v>
      </c>
      <c r="T12" s="30">
        <f t="shared" ca="1" si="4"/>
        <v>119</v>
      </c>
      <c r="U12" s="30">
        <f t="shared" ca="1" si="5"/>
        <v>118</v>
      </c>
    </row>
    <row r="13" spans="2:21" s="30" customFormat="1" ht="18.75" x14ac:dyDescent="0.3">
      <c r="C13" s="28"/>
      <c r="D13" s="29"/>
      <c r="M13" s="30">
        <v>97</v>
      </c>
      <c r="N13" s="30">
        <v>106</v>
      </c>
      <c r="O13" s="30">
        <f t="shared" si="1"/>
        <v>9409</v>
      </c>
      <c r="P13" s="30">
        <f t="shared" si="2"/>
        <v>11236</v>
      </c>
      <c r="S13" s="30">
        <f t="shared" ca="1" si="3"/>
        <v>102</v>
      </c>
      <c r="T13" s="30">
        <f t="shared" ca="1" si="4"/>
        <v>102</v>
      </c>
      <c r="U13" s="30">
        <f t="shared" ca="1" si="5"/>
        <v>111</v>
      </c>
    </row>
    <row r="14" spans="2:21" s="30" customFormat="1" ht="18.75" x14ac:dyDescent="0.3">
      <c r="C14" s="28"/>
      <c r="D14" s="29"/>
      <c r="M14" s="30">
        <v>104</v>
      </c>
      <c r="N14" s="30">
        <v>104</v>
      </c>
      <c r="O14" s="30">
        <f t="shared" si="1"/>
        <v>10816</v>
      </c>
      <c r="P14" s="30">
        <f t="shared" si="2"/>
        <v>10816</v>
      </c>
      <c r="S14" s="30">
        <f t="shared" ca="1" si="3"/>
        <v>100</v>
      </c>
      <c r="T14" s="30">
        <f t="shared" ca="1" si="4"/>
        <v>113</v>
      </c>
      <c r="U14" s="30">
        <f t="shared" ca="1" si="5"/>
        <v>114</v>
      </c>
    </row>
    <row r="15" spans="2:21" s="30" customFormat="1" ht="18.75" x14ac:dyDescent="0.3">
      <c r="C15" s="28"/>
      <c r="D15" s="29"/>
      <c r="M15" s="30">
        <v>97</v>
      </c>
      <c r="N15" s="30">
        <v>114</v>
      </c>
      <c r="O15" s="30">
        <f t="shared" si="1"/>
        <v>9409</v>
      </c>
      <c r="P15" s="30">
        <f t="shared" si="2"/>
        <v>12996</v>
      </c>
      <c r="S15" s="30">
        <f t="shared" ca="1" si="3"/>
        <v>95</v>
      </c>
      <c r="T15" s="30">
        <f t="shared" ca="1" si="4"/>
        <v>101</v>
      </c>
      <c r="U15" s="30">
        <f t="shared" ca="1" si="5"/>
        <v>110</v>
      </c>
    </row>
    <row r="16" spans="2:21" s="30" customFormat="1" ht="18.75" x14ac:dyDescent="0.3">
      <c r="C16" s="28"/>
      <c r="D16" s="29"/>
      <c r="M16" s="30">
        <v>98</v>
      </c>
      <c r="N16" s="30">
        <v>110</v>
      </c>
      <c r="O16" s="30">
        <f t="shared" si="1"/>
        <v>9604</v>
      </c>
      <c r="P16" s="30">
        <f t="shared" si="2"/>
        <v>12100</v>
      </c>
      <c r="S16" s="30">
        <f t="shared" ca="1" si="3"/>
        <v>98</v>
      </c>
      <c r="T16" s="30">
        <f t="shared" ca="1" si="4"/>
        <v>117</v>
      </c>
      <c r="U16" s="30">
        <f t="shared" ca="1" si="5"/>
        <v>113</v>
      </c>
    </row>
    <row r="17" spans="3:21" s="30" customFormat="1" ht="18.75" x14ac:dyDescent="0.3">
      <c r="C17" s="28"/>
      <c r="D17" s="29"/>
      <c r="M17" s="30">
        <v>105</v>
      </c>
      <c r="N17" s="30">
        <v>119</v>
      </c>
      <c r="O17" s="30">
        <f t="shared" si="1"/>
        <v>11025</v>
      </c>
      <c r="P17" s="30">
        <f t="shared" si="2"/>
        <v>14161</v>
      </c>
      <c r="S17" s="30">
        <f t="shared" ca="1" si="3"/>
        <v>98</v>
      </c>
      <c r="T17" s="30">
        <f t="shared" ca="1" si="4"/>
        <v>116</v>
      </c>
      <c r="U17" s="30">
        <f t="shared" ca="1" si="5"/>
        <v>110</v>
      </c>
    </row>
    <row r="18" spans="3:21" s="30" customFormat="1" ht="18.75" x14ac:dyDescent="0.3">
      <c r="C18" s="28"/>
      <c r="D18" s="29"/>
      <c r="M18" s="30">
        <v>99</v>
      </c>
      <c r="N18" s="30">
        <v>102</v>
      </c>
      <c r="O18" s="30">
        <f t="shared" si="1"/>
        <v>9801</v>
      </c>
      <c r="P18" s="30">
        <f t="shared" si="2"/>
        <v>10404</v>
      </c>
      <c r="S18" s="30">
        <f t="shared" ca="1" si="3"/>
        <v>102</v>
      </c>
      <c r="T18" s="30">
        <f t="shared" ca="1" si="4"/>
        <v>112</v>
      </c>
      <c r="U18" s="30">
        <f t="shared" ca="1" si="5"/>
        <v>116</v>
      </c>
    </row>
    <row r="19" spans="3:21" s="30" customFormat="1" ht="18.75" x14ac:dyDescent="0.3">
      <c r="C19" s="28"/>
      <c r="D19" s="29"/>
      <c r="M19" s="30">
        <v>103</v>
      </c>
      <c r="N19" s="30">
        <v>109</v>
      </c>
      <c r="O19" s="30">
        <f t="shared" si="1"/>
        <v>10609</v>
      </c>
      <c r="P19" s="30">
        <f t="shared" si="2"/>
        <v>11881</v>
      </c>
      <c r="S19" s="30">
        <f t="shared" ca="1" si="3"/>
        <v>103</v>
      </c>
      <c r="T19" s="30">
        <f t="shared" ca="1" si="4"/>
        <v>110</v>
      </c>
      <c r="U19" s="30">
        <f t="shared" ca="1" si="5"/>
        <v>113</v>
      </c>
    </row>
    <row r="20" spans="3:21" s="30" customFormat="1" ht="18.75" x14ac:dyDescent="0.3">
      <c r="C20" s="28"/>
      <c r="D20" s="29"/>
      <c r="M20" s="30">
        <v>102</v>
      </c>
      <c r="N20" s="30">
        <v>110</v>
      </c>
      <c r="O20" s="30">
        <f t="shared" si="1"/>
        <v>10404</v>
      </c>
      <c r="P20" s="30">
        <f t="shared" si="2"/>
        <v>12100</v>
      </c>
      <c r="S20" s="30">
        <f t="shared" ca="1" si="3"/>
        <v>95</v>
      </c>
      <c r="T20" s="30">
        <f t="shared" ca="1" si="4"/>
        <v>109</v>
      </c>
      <c r="U20" s="30">
        <f t="shared" ca="1" si="5"/>
        <v>114</v>
      </c>
    </row>
    <row r="21" spans="3:21" s="30" customFormat="1" ht="18.75" x14ac:dyDescent="0.3">
      <c r="C21" s="28"/>
      <c r="D21" s="29"/>
      <c r="M21" s="30">
        <v>100</v>
      </c>
      <c r="N21" s="30">
        <v>113</v>
      </c>
      <c r="O21" s="30">
        <f t="shared" si="1"/>
        <v>10000</v>
      </c>
      <c r="P21" s="30">
        <f t="shared" si="2"/>
        <v>12769</v>
      </c>
      <c r="S21" s="30">
        <f t="shared" ca="1" si="3"/>
        <v>96</v>
      </c>
      <c r="T21" s="30">
        <f t="shared" ca="1" si="4"/>
        <v>103</v>
      </c>
      <c r="U21" s="30">
        <f t="shared" ca="1" si="5"/>
        <v>119</v>
      </c>
    </row>
    <row r="22" spans="3:21" s="30" customFormat="1" ht="18.75" x14ac:dyDescent="0.3">
      <c r="C22" s="28"/>
      <c r="D22" s="29"/>
      <c r="M22" s="30">
        <v>98</v>
      </c>
      <c r="N22" s="30">
        <v>112</v>
      </c>
      <c r="O22" s="30">
        <f t="shared" si="1"/>
        <v>9604</v>
      </c>
      <c r="P22" s="30">
        <f t="shared" si="2"/>
        <v>12544</v>
      </c>
      <c r="S22" s="30">
        <f t="shared" ca="1" si="3"/>
        <v>96</v>
      </c>
      <c r="T22" s="30">
        <f t="shared" ca="1" si="4"/>
        <v>119</v>
      </c>
      <c r="U22" s="30">
        <f t="shared" ca="1" si="5"/>
        <v>115</v>
      </c>
    </row>
    <row r="23" spans="3:21" s="30" customFormat="1" ht="18.75" x14ac:dyDescent="0.3">
      <c r="C23" s="28"/>
      <c r="D23" s="29"/>
      <c r="M23" s="30">
        <v>95</v>
      </c>
      <c r="N23" s="30">
        <v>104</v>
      </c>
      <c r="O23" s="30">
        <f t="shared" si="1"/>
        <v>9025</v>
      </c>
      <c r="P23" s="30">
        <f t="shared" si="2"/>
        <v>10816</v>
      </c>
      <c r="S23" s="30">
        <f t="shared" ca="1" si="3"/>
        <v>105</v>
      </c>
      <c r="T23" s="30">
        <f t="shared" ca="1" si="4"/>
        <v>104</v>
      </c>
      <c r="U23" s="30">
        <f t="shared" ca="1" si="5"/>
        <v>114</v>
      </c>
    </row>
    <row r="24" spans="3:21" s="30" customFormat="1" ht="18.75" x14ac:dyDescent="0.3">
      <c r="C24" s="28"/>
      <c r="D24" s="29"/>
      <c r="M24" s="30">
        <v>100</v>
      </c>
      <c r="N24" s="30">
        <v>106</v>
      </c>
      <c r="O24" s="30">
        <f t="shared" si="1"/>
        <v>10000</v>
      </c>
      <c r="P24" s="30">
        <f t="shared" si="2"/>
        <v>11236</v>
      </c>
      <c r="S24" s="30">
        <f t="shared" ca="1" si="3"/>
        <v>102</v>
      </c>
      <c r="T24" s="30">
        <f t="shared" ca="1" si="4"/>
        <v>100</v>
      </c>
      <c r="U24" s="30">
        <f t="shared" ca="1" si="5"/>
        <v>110</v>
      </c>
    </row>
    <row r="25" spans="3:21" s="30" customFormat="1" ht="18.75" hidden="1" x14ac:dyDescent="0.3">
      <c r="C25" s="28"/>
      <c r="D25" s="29"/>
      <c r="M25" s="171"/>
      <c r="N25" s="172"/>
      <c r="O25" s="30">
        <f t="shared" si="1"/>
        <v>0</v>
      </c>
      <c r="P25" s="30">
        <f t="shared" si="2"/>
        <v>0</v>
      </c>
      <c r="U25" s="30">
        <f t="shared" ca="1" si="5"/>
        <v>117</v>
      </c>
    </row>
    <row r="26" spans="3:21" s="30" customFormat="1" ht="18.75" hidden="1" x14ac:dyDescent="0.3">
      <c r="C26" s="28"/>
      <c r="D26" s="29"/>
      <c r="M26" s="171"/>
      <c r="N26" s="172"/>
      <c r="O26" s="30">
        <f t="shared" si="1"/>
        <v>0</v>
      </c>
      <c r="P26" s="30">
        <f t="shared" si="2"/>
        <v>0</v>
      </c>
      <c r="U26" s="30">
        <f t="shared" ca="1" si="5"/>
        <v>120</v>
      </c>
    </row>
    <row r="27" spans="3:21" s="30" customFormat="1" ht="18.75" hidden="1" x14ac:dyDescent="0.3">
      <c r="C27" s="28"/>
      <c r="D27" s="29"/>
      <c r="M27" s="171"/>
      <c r="N27" s="172"/>
      <c r="O27" s="30">
        <f t="shared" si="1"/>
        <v>0</v>
      </c>
      <c r="P27" s="30">
        <f t="shared" si="2"/>
        <v>0</v>
      </c>
      <c r="U27" s="30">
        <f t="shared" ca="1" si="5"/>
        <v>117</v>
      </c>
    </row>
    <row r="28" spans="3:21" s="30" customFormat="1" ht="18.75" hidden="1" x14ac:dyDescent="0.3">
      <c r="C28" s="28"/>
      <c r="D28" s="29"/>
      <c r="M28" s="171"/>
      <c r="N28" s="172"/>
      <c r="O28" s="30">
        <f t="shared" si="1"/>
        <v>0</v>
      </c>
      <c r="P28" s="30">
        <f t="shared" si="2"/>
        <v>0</v>
      </c>
      <c r="U28" s="30">
        <f t="shared" ca="1" si="5"/>
        <v>116</v>
      </c>
    </row>
    <row r="29" spans="3:21" s="30" customFormat="1" ht="18.75" hidden="1" x14ac:dyDescent="0.3">
      <c r="C29" s="28"/>
      <c r="D29" s="29"/>
      <c r="M29" s="171"/>
      <c r="N29" s="172"/>
      <c r="O29" s="30">
        <f t="shared" si="1"/>
        <v>0</v>
      </c>
      <c r="P29" s="30">
        <f t="shared" si="2"/>
        <v>0</v>
      </c>
      <c r="U29" s="30">
        <f t="shared" ca="1" si="5"/>
        <v>113</v>
      </c>
    </row>
    <row r="30" spans="3:21" s="30" customFormat="1" ht="18.75" hidden="1" x14ac:dyDescent="0.3">
      <c r="C30" s="28"/>
      <c r="D30" s="29"/>
      <c r="M30" s="171"/>
      <c r="N30" s="172"/>
      <c r="O30" s="30">
        <f t="shared" si="1"/>
        <v>0</v>
      </c>
      <c r="P30" s="30">
        <f t="shared" si="2"/>
        <v>0</v>
      </c>
      <c r="U30" s="30">
        <f t="shared" ca="1" si="5"/>
        <v>118</v>
      </c>
    </row>
    <row r="31" spans="3:21" s="30" customFormat="1" ht="18.75" hidden="1" x14ac:dyDescent="0.3">
      <c r="C31" s="28"/>
      <c r="D31" s="29"/>
      <c r="M31" s="171"/>
      <c r="N31" s="172"/>
      <c r="O31" s="30">
        <f t="shared" si="1"/>
        <v>0</v>
      </c>
      <c r="P31" s="30">
        <f t="shared" si="2"/>
        <v>0</v>
      </c>
      <c r="U31" s="30">
        <f t="shared" ca="1" si="5"/>
        <v>114</v>
      </c>
    </row>
    <row r="32" spans="3:21" s="30" customFormat="1" ht="18.75" hidden="1" x14ac:dyDescent="0.3">
      <c r="C32" s="28"/>
      <c r="D32" s="29"/>
      <c r="M32" s="171"/>
      <c r="N32" s="172"/>
      <c r="O32" s="30">
        <f t="shared" si="1"/>
        <v>0</v>
      </c>
      <c r="P32" s="30">
        <f t="shared" si="2"/>
        <v>0</v>
      </c>
      <c r="U32" s="30">
        <f t="shared" ca="1" si="5"/>
        <v>110</v>
      </c>
    </row>
    <row r="33" spans="1:21" s="30" customFormat="1" ht="18.75" hidden="1" x14ac:dyDescent="0.3">
      <c r="C33" s="28"/>
      <c r="D33" s="29"/>
      <c r="M33" s="171"/>
      <c r="N33" s="172"/>
      <c r="O33" s="30">
        <f t="shared" si="1"/>
        <v>0</v>
      </c>
      <c r="P33" s="30">
        <f t="shared" si="2"/>
        <v>0</v>
      </c>
      <c r="U33" s="30">
        <f t="shared" ca="1" si="5"/>
        <v>110</v>
      </c>
    </row>
    <row r="34" spans="1:21" s="30" customFormat="1" ht="18.75" hidden="1" x14ac:dyDescent="0.3">
      <c r="C34" s="28"/>
      <c r="D34" s="29"/>
      <c r="M34" s="171"/>
      <c r="N34" s="172"/>
      <c r="O34" s="30">
        <f t="shared" si="1"/>
        <v>0</v>
      </c>
      <c r="P34" s="30">
        <f t="shared" si="2"/>
        <v>0</v>
      </c>
      <c r="U34" s="30">
        <f t="shared" ca="1" si="5"/>
        <v>119</v>
      </c>
    </row>
    <row r="35" spans="1:21" s="30" customFormat="1" ht="18.75" hidden="1" x14ac:dyDescent="0.3">
      <c r="C35" s="28"/>
      <c r="D35" s="29"/>
      <c r="M35" s="171"/>
      <c r="N35" s="172"/>
      <c r="O35" s="30">
        <f t="shared" si="1"/>
        <v>0</v>
      </c>
      <c r="P35" s="30">
        <f t="shared" si="2"/>
        <v>0</v>
      </c>
      <c r="U35" s="30">
        <f t="shared" ca="1" si="5"/>
        <v>112</v>
      </c>
    </row>
    <row r="36" spans="1:21" s="30" customFormat="1" ht="18.75" hidden="1" x14ac:dyDescent="0.3">
      <c r="C36" s="28"/>
      <c r="D36" s="29"/>
      <c r="M36" s="171"/>
      <c r="N36" s="172"/>
      <c r="O36" s="30">
        <f t="shared" si="1"/>
        <v>0</v>
      </c>
      <c r="P36" s="30">
        <f t="shared" si="2"/>
        <v>0</v>
      </c>
      <c r="U36" s="30">
        <f t="shared" ca="1" si="5"/>
        <v>115</v>
      </c>
    </row>
    <row r="37" spans="1:21" s="30" customFormat="1" ht="18.75" hidden="1" x14ac:dyDescent="0.3">
      <c r="C37" s="28"/>
      <c r="D37" s="29"/>
      <c r="M37" s="171"/>
      <c r="N37" s="172"/>
      <c r="O37" s="30">
        <f t="shared" si="1"/>
        <v>0</v>
      </c>
      <c r="P37" s="30">
        <f t="shared" si="2"/>
        <v>0</v>
      </c>
      <c r="U37" s="30">
        <f t="shared" ca="1" si="5"/>
        <v>112</v>
      </c>
    </row>
    <row r="38" spans="1:21" s="30" customFormat="1" ht="18.75" hidden="1" x14ac:dyDescent="0.3">
      <c r="C38" s="28"/>
      <c r="D38" s="29"/>
      <c r="M38" s="171"/>
      <c r="N38" s="172"/>
      <c r="O38" s="30">
        <f t="shared" si="1"/>
        <v>0</v>
      </c>
      <c r="P38" s="30">
        <f t="shared" si="2"/>
        <v>0</v>
      </c>
      <c r="U38" s="30">
        <f t="shared" ca="1" si="5"/>
        <v>111</v>
      </c>
    </row>
    <row r="39" spans="1:21" s="30" customFormat="1" ht="18.75" hidden="1" x14ac:dyDescent="0.3">
      <c r="C39" s="28"/>
      <c r="D39" s="29"/>
      <c r="M39" s="171"/>
      <c r="N39" s="172"/>
      <c r="O39" s="30">
        <f t="shared" si="1"/>
        <v>0</v>
      </c>
      <c r="P39" s="30">
        <f t="shared" si="2"/>
        <v>0</v>
      </c>
      <c r="U39" s="30">
        <f t="shared" ca="1" si="5"/>
        <v>112</v>
      </c>
    </row>
    <row r="40" spans="1:21" s="9" customFormat="1" ht="21" hidden="1" x14ac:dyDescent="0.35">
      <c r="A40" s="30"/>
      <c r="B40" s="30"/>
      <c r="C40" s="28"/>
      <c r="D40" s="29"/>
      <c r="E40" s="30"/>
      <c r="F40" s="30"/>
      <c r="G40" s="30"/>
      <c r="H40" s="30"/>
      <c r="I40" s="30"/>
      <c r="J40" s="30"/>
      <c r="K40" s="30"/>
      <c r="L40" s="30"/>
      <c r="M40" s="171"/>
      <c r="N40" s="172"/>
      <c r="O40" s="30">
        <f t="shared" si="1"/>
        <v>0</v>
      </c>
      <c r="P40" s="30">
        <f t="shared" si="2"/>
        <v>0</v>
      </c>
      <c r="Q40" s="30"/>
      <c r="R40" s="30"/>
      <c r="S40" s="30"/>
      <c r="T40" s="30"/>
      <c r="U40" s="30">
        <f t="shared" ca="1" si="5"/>
        <v>120</v>
      </c>
    </row>
    <row r="41" spans="1:21" s="9" customFormat="1" ht="21" hidden="1" x14ac:dyDescent="0.35">
      <c r="A41" s="30"/>
      <c r="B41" s="30"/>
      <c r="C41" s="28"/>
      <c r="D41" s="29"/>
      <c r="E41" s="30"/>
      <c r="F41" s="30"/>
      <c r="G41" s="30"/>
      <c r="H41" s="30"/>
      <c r="I41" s="30"/>
      <c r="J41" s="30"/>
      <c r="K41" s="30"/>
      <c r="L41" s="30"/>
      <c r="M41" s="171"/>
      <c r="N41" s="172"/>
      <c r="O41" s="30">
        <f t="shared" si="1"/>
        <v>0</v>
      </c>
      <c r="P41" s="30">
        <f t="shared" si="2"/>
        <v>0</v>
      </c>
      <c r="Q41" s="30"/>
      <c r="R41" s="30"/>
      <c r="S41" s="30"/>
      <c r="T41" s="30"/>
      <c r="U41" s="30">
        <f t="shared" ca="1" si="5"/>
        <v>112</v>
      </c>
    </row>
    <row r="42" spans="1:21" s="9" customFormat="1" ht="21" hidden="1" x14ac:dyDescent="0.35">
      <c r="A42" s="30"/>
      <c r="B42" s="30"/>
      <c r="C42" s="28"/>
      <c r="D42" s="29"/>
      <c r="E42" s="30"/>
      <c r="F42" s="30"/>
      <c r="G42" s="30"/>
      <c r="H42" s="30"/>
      <c r="I42" s="30"/>
      <c r="J42" s="30"/>
      <c r="K42" s="30"/>
      <c r="L42" s="30"/>
      <c r="M42" s="171"/>
      <c r="N42" s="172"/>
      <c r="O42" s="30">
        <f t="shared" si="1"/>
        <v>0</v>
      </c>
      <c r="P42" s="30">
        <f t="shared" si="2"/>
        <v>0</v>
      </c>
      <c r="Q42" s="30"/>
      <c r="R42" s="30"/>
      <c r="S42" s="30"/>
      <c r="T42" s="30"/>
      <c r="U42" s="30">
        <f t="shared" ca="1" si="5"/>
        <v>119</v>
      </c>
    </row>
    <row r="43" spans="1:21" s="9" customFormat="1" ht="21" hidden="1" x14ac:dyDescent="0.35">
      <c r="A43" s="30"/>
      <c r="B43" s="30"/>
      <c r="C43" s="28"/>
      <c r="D43" s="29"/>
      <c r="E43" s="30"/>
      <c r="F43" s="30"/>
      <c r="G43" s="30"/>
      <c r="H43" s="30"/>
      <c r="I43" s="30"/>
      <c r="J43" s="30"/>
      <c r="K43" s="30"/>
      <c r="L43" s="30"/>
      <c r="M43" s="171"/>
      <c r="N43" s="172"/>
      <c r="O43" s="30">
        <f t="shared" si="1"/>
        <v>0</v>
      </c>
      <c r="P43" s="30">
        <f t="shared" si="2"/>
        <v>0</v>
      </c>
      <c r="Q43" s="30"/>
      <c r="R43" s="30"/>
      <c r="S43" s="30"/>
      <c r="T43" s="30"/>
      <c r="U43" s="30">
        <f t="shared" ca="1" si="5"/>
        <v>112</v>
      </c>
    </row>
    <row r="44" spans="1:21" s="9" customFormat="1" ht="21" hidden="1" x14ac:dyDescent="0.35">
      <c r="A44" s="30"/>
      <c r="B44" s="30"/>
      <c r="C44" s="28"/>
      <c r="D44" s="29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>
        <f t="shared" si="1"/>
        <v>0</v>
      </c>
      <c r="P44" s="30">
        <f t="shared" si="2"/>
        <v>0</v>
      </c>
      <c r="Q44" s="30"/>
      <c r="R44" s="30"/>
      <c r="S44" s="30"/>
      <c r="T44" s="30"/>
      <c r="U44" s="30">
        <f t="shared" ca="1" si="5"/>
        <v>120</v>
      </c>
    </row>
    <row r="45" spans="1:21" s="9" customFormat="1" ht="21" x14ac:dyDescent="0.35">
      <c r="B45" s="283" t="s">
        <v>4</v>
      </c>
      <c r="C45" s="284">
        <f>COUNT(C5:C44)</f>
        <v>7</v>
      </c>
      <c r="D45" s="284">
        <f>COUNT(D5:D44)</f>
        <v>7</v>
      </c>
      <c r="E45" s="285"/>
      <c r="F45" s="285"/>
      <c r="L45" s="286" t="s">
        <v>4</v>
      </c>
      <c r="M45" s="284">
        <f>COUNT(M5:M44)</f>
        <v>20</v>
      </c>
      <c r="N45" s="284">
        <f>COUNT(N5:N44)</f>
        <v>20</v>
      </c>
      <c r="O45" s="284"/>
      <c r="P45" s="284"/>
      <c r="Q45" s="30"/>
      <c r="R45" s="30"/>
      <c r="S45" s="30"/>
      <c r="T45" s="30"/>
    </row>
    <row r="46" spans="1:21" s="9" customFormat="1" ht="21" x14ac:dyDescent="0.35">
      <c r="B46" s="3" t="s">
        <v>5</v>
      </c>
      <c r="C46" s="30">
        <f>SUM(C5:C44)</f>
        <v>52.6</v>
      </c>
      <c r="D46" s="30">
        <f>SUM(D5:D44)</f>
        <v>52.900000000000006</v>
      </c>
      <c r="E46" s="9">
        <f>SUM(E5:E45)</f>
        <v>398.28</v>
      </c>
      <c r="F46" s="9">
        <f>SUM(F5:F45)</f>
        <v>402.23</v>
      </c>
      <c r="L46" s="25" t="s">
        <v>5</v>
      </c>
      <c r="M46" s="30">
        <f>SUM(M5:M44)</f>
        <v>1999</v>
      </c>
      <c r="N46" s="30">
        <f>SUM(N5:N44)</f>
        <v>2179</v>
      </c>
      <c r="O46" s="30">
        <f>SUM(O5:O45)</f>
        <v>199995</v>
      </c>
      <c r="P46" s="30">
        <f>SUM(P5:P45)</f>
        <v>238007</v>
      </c>
      <c r="Q46" s="30"/>
      <c r="R46" s="30"/>
      <c r="S46" s="30"/>
      <c r="T46" s="30"/>
    </row>
    <row r="47" spans="1:21" s="9" customFormat="1" ht="21.75" thickBot="1" x14ac:dyDescent="0.4">
      <c r="B47" s="3" t="s">
        <v>6</v>
      </c>
      <c r="C47" s="10">
        <f>C46 / C45</f>
        <v>7.5142857142857142</v>
      </c>
      <c r="D47" s="10">
        <f>D46 / D45</f>
        <v>7.5571428571428578</v>
      </c>
      <c r="L47" s="25" t="s">
        <v>6</v>
      </c>
      <c r="M47" s="35">
        <f>M46 / M45</f>
        <v>99.95</v>
      </c>
      <c r="N47" s="35">
        <f>N46 / N45</f>
        <v>108.95</v>
      </c>
      <c r="O47" s="30"/>
      <c r="P47" s="30"/>
      <c r="Q47" s="30"/>
      <c r="R47" s="30"/>
      <c r="S47" s="30"/>
      <c r="T47" s="30"/>
      <c r="U47" s="30"/>
    </row>
    <row r="48" spans="1:21" s="9" customFormat="1" ht="21.75" thickBot="1" x14ac:dyDescent="0.4">
      <c r="H48" s="11" t="s">
        <v>7</v>
      </c>
      <c r="I48" s="12" t="s">
        <v>8</v>
      </c>
      <c r="J48" s="12" t="s">
        <v>9</v>
      </c>
      <c r="L48" s="30"/>
      <c r="M48" s="30"/>
      <c r="N48" s="30"/>
      <c r="O48" s="30"/>
      <c r="P48" s="30"/>
      <c r="Q48" s="30"/>
      <c r="R48" s="162" t="s">
        <v>7</v>
      </c>
      <c r="S48" s="264" t="s">
        <v>8</v>
      </c>
      <c r="T48" s="264" t="s">
        <v>9</v>
      </c>
      <c r="U48" s="157" t="s">
        <v>10</v>
      </c>
    </row>
    <row r="49" spans="1:21" s="9" customFormat="1" ht="21" x14ac:dyDescent="0.35">
      <c r="B49" s="13">
        <v>1</v>
      </c>
      <c r="C49" s="9" t="s">
        <v>11</v>
      </c>
      <c r="D49" s="145">
        <f xml:space="preserve"> C46 + D46</f>
        <v>105.5</v>
      </c>
      <c r="F49" s="14" t="s">
        <v>12</v>
      </c>
      <c r="G49" s="15"/>
      <c r="H49" s="267">
        <v>1</v>
      </c>
      <c r="I49" s="265">
        <f>D54</f>
        <v>6.4285714287279916E-3</v>
      </c>
      <c r="J49" s="265">
        <f>I49 / H49</f>
        <v>6.4285714287279916E-3</v>
      </c>
      <c r="K49" s="9" t="s">
        <v>176</v>
      </c>
      <c r="L49" s="59">
        <v>1</v>
      </c>
      <c r="M49" s="30" t="s">
        <v>11</v>
      </c>
      <c r="N49" s="145">
        <f xml:space="preserve"> M46 + N46</f>
        <v>4178</v>
      </c>
      <c r="O49" s="30"/>
      <c r="P49" s="116" t="s">
        <v>12</v>
      </c>
      <c r="Q49" s="65"/>
      <c r="R49" s="277">
        <v>1</v>
      </c>
      <c r="S49" s="279">
        <f>N54</f>
        <v>810</v>
      </c>
      <c r="T49" s="279">
        <f>S49 / R49</f>
        <v>810</v>
      </c>
      <c r="U49" s="282">
        <f xml:space="preserve"> T49 / T50</f>
        <v>38.47980997624591</v>
      </c>
    </row>
    <row r="50" spans="1:21" s="9" customFormat="1" ht="21" x14ac:dyDescent="0.35">
      <c r="B50" s="13">
        <v>2</v>
      </c>
      <c r="C50" s="9" t="s">
        <v>13</v>
      </c>
      <c r="D50" s="145">
        <f>E46 + F46</f>
        <v>800.51</v>
      </c>
      <c r="F50" s="17" t="s">
        <v>14</v>
      </c>
      <c r="G50" s="18"/>
      <c r="H50" s="268">
        <f>(C45 +D45) - 2</f>
        <v>12</v>
      </c>
      <c r="I50" s="247">
        <f>D55</f>
        <v>5.4857142857141525</v>
      </c>
      <c r="J50" s="247">
        <f xml:space="preserve"> I50 / H50</f>
        <v>0.45714285714284603</v>
      </c>
      <c r="L50" s="59">
        <v>2</v>
      </c>
      <c r="M50" s="30" t="s">
        <v>13</v>
      </c>
      <c r="N50" s="145">
        <f>O46 + P46</f>
        <v>438002</v>
      </c>
      <c r="O50" s="30"/>
      <c r="P50" s="67" t="s">
        <v>14</v>
      </c>
      <c r="Q50" s="66"/>
      <c r="R50" s="278">
        <f>(M45 +N45) - 2</f>
        <v>38</v>
      </c>
      <c r="S50" s="252">
        <f>N55</f>
        <v>799.90000000002328</v>
      </c>
      <c r="T50" s="252">
        <f xml:space="preserve"> S50 / R50</f>
        <v>21.050000000000612</v>
      </c>
      <c r="U50" s="280"/>
    </row>
    <row r="51" spans="1:21" ht="21.75" thickBot="1" x14ac:dyDescent="0.4">
      <c r="A51" s="9"/>
      <c r="B51" s="13">
        <v>3</v>
      </c>
      <c r="C51" s="9" t="s">
        <v>15</v>
      </c>
      <c r="D51" s="111">
        <f>((C46^2) + (D46^2))/C45</f>
        <v>795.02428571428584</v>
      </c>
      <c r="E51" s="9"/>
      <c r="F51" s="20" t="s">
        <v>11</v>
      </c>
      <c r="G51" s="21"/>
      <c r="H51" s="22">
        <f>H49+H50</f>
        <v>13</v>
      </c>
      <c r="I51" s="266">
        <f xml:space="preserve"> I49 + I50</f>
        <v>5.4921428571428805</v>
      </c>
      <c r="J51" s="266"/>
      <c r="K51" s="9"/>
      <c r="L51" s="59">
        <v>3</v>
      </c>
      <c r="M51" s="30" t="s">
        <v>15</v>
      </c>
      <c r="N51" s="111">
        <f>((M46^2) + (N46^2))/M45</f>
        <v>437202.1</v>
      </c>
      <c r="O51" s="30"/>
      <c r="P51" s="202" t="s">
        <v>11</v>
      </c>
      <c r="Q51" s="77"/>
      <c r="R51" s="63">
        <f>R49+R50</f>
        <v>39</v>
      </c>
      <c r="S51" s="276">
        <f xml:space="preserve"> S49 + S50</f>
        <v>1609.9000000000233</v>
      </c>
      <c r="T51" s="276"/>
      <c r="U51" s="281"/>
    </row>
    <row r="52" spans="1:21" ht="21" x14ac:dyDescent="0.35">
      <c r="A52" s="9"/>
      <c r="B52" s="13">
        <v>4</v>
      </c>
      <c r="C52" s="156" t="s">
        <v>16</v>
      </c>
      <c r="D52" s="263">
        <f xml:space="preserve"> D49^2 / (C45 + D45)</f>
        <v>795.01785714285711</v>
      </c>
      <c r="E52" s="9"/>
      <c r="F52" s="9"/>
      <c r="G52" s="9"/>
      <c r="H52" s="9"/>
      <c r="I52" s="9"/>
      <c r="J52" s="9"/>
      <c r="K52" s="9"/>
      <c r="L52" s="59">
        <v>4</v>
      </c>
      <c r="M52" s="113" t="s">
        <v>16</v>
      </c>
      <c r="N52" s="263">
        <f xml:space="preserve"> N49^2 / (M45 + N45)</f>
        <v>436392.1</v>
      </c>
      <c r="O52" s="30"/>
      <c r="P52" s="30"/>
      <c r="Q52" s="30"/>
      <c r="R52" s="30"/>
      <c r="S52" s="30"/>
      <c r="T52" s="30"/>
    </row>
    <row r="53" spans="1:21" ht="21" x14ac:dyDescent="0.35">
      <c r="A53" s="9"/>
      <c r="B53" s="13">
        <v>5</v>
      </c>
      <c r="C53" s="9" t="s">
        <v>17</v>
      </c>
      <c r="D53" s="111">
        <f xml:space="preserve"> D50 - D52</f>
        <v>5.4921428571428805</v>
      </c>
      <c r="E53" s="9"/>
      <c r="F53" s="9" t="s">
        <v>186</v>
      </c>
      <c r="G53" s="9"/>
      <c r="H53" s="9"/>
      <c r="I53" s="9"/>
      <c r="J53" s="9"/>
      <c r="K53" s="9"/>
      <c r="L53" s="59">
        <v>5</v>
      </c>
      <c r="M53" s="30" t="s">
        <v>17</v>
      </c>
      <c r="N53" s="111">
        <f xml:space="preserve"> N50 - N52</f>
        <v>1609.9000000000233</v>
      </c>
      <c r="O53" s="30"/>
      <c r="P53" s="30" t="s">
        <v>246</v>
      </c>
      <c r="Q53" s="30"/>
      <c r="R53" s="30"/>
      <c r="S53" s="30"/>
      <c r="T53" s="30"/>
    </row>
    <row r="54" spans="1:21" ht="21" x14ac:dyDescent="0.35">
      <c r="A54" s="9"/>
      <c r="B54" s="13">
        <v>6</v>
      </c>
      <c r="C54" s="9" t="s">
        <v>18</v>
      </c>
      <c r="D54" s="145">
        <f xml:space="preserve"> D51 - D52</f>
        <v>6.4285714287279916E-3</v>
      </c>
      <c r="E54" s="9"/>
      <c r="F54" s="9" t="s">
        <v>247</v>
      </c>
      <c r="G54" s="9">
        <v>4.75</v>
      </c>
      <c r="H54" s="9"/>
      <c r="I54" s="9"/>
      <c r="J54" s="9"/>
      <c r="K54" s="9"/>
      <c r="L54" s="59">
        <v>6</v>
      </c>
      <c r="M54" s="30" t="s">
        <v>18</v>
      </c>
      <c r="N54" s="145">
        <f xml:space="preserve"> N51 - N52</f>
        <v>810</v>
      </c>
      <c r="O54" s="30"/>
      <c r="P54" s="9" t="s">
        <v>248</v>
      </c>
      <c r="Q54" s="9">
        <v>5.99</v>
      </c>
      <c r="R54" s="30"/>
      <c r="S54" s="30"/>
      <c r="T54" s="30"/>
    </row>
    <row r="55" spans="1:21" ht="21" x14ac:dyDescent="0.35">
      <c r="A55" s="9"/>
      <c r="B55" s="13">
        <v>7</v>
      </c>
      <c r="C55" s="9" t="s">
        <v>19</v>
      </c>
      <c r="D55" s="111">
        <f xml:space="preserve"> D53 - D54</f>
        <v>5.4857142857141525</v>
      </c>
      <c r="E55" s="9"/>
      <c r="F55" s="9"/>
      <c r="G55" s="9"/>
      <c r="H55" s="9"/>
      <c r="I55" s="9"/>
      <c r="J55" s="9"/>
      <c r="K55" s="9"/>
      <c r="L55" s="59">
        <v>7</v>
      </c>
      <c r="M55" s="30" t="s">
        <v>19</v>
      </c>
      <c r="N55" s="111">
        <f xml:space="preserve"> N53 - N54</f>
        <v>799.90000000002328</v>
      </c>
      <c r="O55" s="30"/>
      <c r="P55" s="30"/>
      <c r="Q55" s="30"/>
      <c r="R55" s="30"/>
      <c r="S55" s="30"/>
      <c r="T55" s="30"/>
    </row>
    <row r="56" spans="1:21" ht="20.100000000000001" customHeight="1" x14ac:dyDescent="0.25"/>
    <row r="57" spans="1:21" ht="20.100000000000001" customHeight="1" x14ac:dyDescent="0.25">
      <c r="B57" t="s">
        <v>20</v>
      </c>
    </row>
    <row r="58" spans="1:21" ht="20.100000000000001" customHeight="1" x14ac:dyDescent="0.25"/>
    <row r="59" spans="1:21" ht="20.100000000000001" customHeight="1" x14ac:dyDescent="0.25"/>
    <row r="60" spans="1:21" ht="20.100000000000001" customHeight="1" x14ac:dyDescent="0.25"/>
  </sheetData>
  <mergeCells count="2">
    <mergeCell ref="B2:I2"/>
    <mergeCell ref="L2:S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E206-4502-4ABD-9E65-4ADBACE37BFB}">
  <sheetPr>
    <tabColor rgb="FFFF40FF"/>
  </sheetPr>
  <dimension ref="B1:K65"/>
  <sheetViews>
    <sheetView workbookViewId="0">
      <pane ySplit="2" topLeftCell="A3" activePane="bottomLeft" state="frozen"/>
      <selection pane="bottomLeft" activeCell="O6" sqref="O6:P6"/>
    </sheetView>
  </sheetViews>
  <sheetFormatPr defaultRowHeight="15" x14ac:dyDescent="0.25"/>
  <cols>
    <col min="2" max="6" width="12.5703125" customWidth="1"/>
    <col min="8" max="11" width="8.5703125" customWidth="1"/>
  </cols>
  <sheetData>
    <row r="1" spans="2:11" s="145" customFormat="1" ht="20.100000000000001" customHeight="1" x14ac:dyDescent="0.25">
      <c r="B1" s="245" t="s">
        <v>245</v>
      </c>
      <c r="C1" s="248"/>
      <c r="D1" s="248"/>
      <c r="E1" s="248"/>
      <c r="F1" s="248"/>
      <c r="G1" s="248"/>
      <c r="H1" s="248"/>
      <c r="I1" s="248"/>
      <c r="J1" s="248"/>
    </row>
    <row r="2" spans="2:11" s="3" customFormat="1" ht="21" x14ac:dyDescent="0.35">
      <c r="B2" s="584" t="s">
        <v>140</v>
      </c>
      <c r="C2" s="584"/>
      <c r="D2" s="584"/>
      <c r="E2" s="584"/>
      <c r="F2" s="584"/>
      <c r="G2" s="584"/>
      <c r="H2" s="584"/>
      <c r="I2" s="584"/>
      <c r="J2" s="9"/>
      <c r="K2" s="9"/>
    </row>
    <row r="3" spans="2:11" s="3" customFormat="1" ht="21.75" thickBot="1" x14ac:dyDescent="0.4"/>
    <row r="4" spans="2:11" s="30" customFormat="1" ht="19.5" thickBot="1" x14ac:dyDescent="0.35">
      <c r="C4" s="5" t="s">
        <v>0</v>
      </c>
      <c r="D4" s="6" t="s">
        <v>1</v>
      </c>
      <c r="E4" s="7" t="s">
        <v>2</v>
      </c>
      <c r="F4" s="8" t="s">
        <v>3</v>
      </c>
      <c r="I4" s="45" t="s">
        <v>260</v>
      </c>
      <c r="J4" s="45" t="s">
        <v>259</v>
      </c>
    </row>
    <row r="5" spans="2:11" s="30" customFormat="1" ht="18.75" x14ac:dyDescent="0.3">
      <c r="C5" s="30">
        <v>96</v>
      </c>
      <c r="D5" s="30">
        <v>102</v>
      </c>
      <c r="E5" s="30">
        <f>C5^2</f>
        <v>9216</v>
      </c>
      <c r="F5" s="30">
        <f>D5^2</f>
        <v>10404</v>
      </c>
      <c r="I5" s="30">
        <f ca="1">RANDBETWEEN(90,110)</f>
        <v>94</v>
      </c>
      <c r="J5" s="30">
        <f ca="1">RANDBETWEEN(100,120)</f>
        <v>101</v>
      </c>
    </row>
    <row r="6" spans="2:11" s="30" customFormat="1" ht="18.75" x14ac:dyDescent="0.3">
      <c r="C6" s="30">
        <v>105</v>
      </c>
      <c r="D6" s="30">
        <v>102</v>
      </c>
      <c r="E6" s="30">
        <f t="shared" ref="E6:F44" si="0">C6^2</f>
        <v>11025</v>
      </c>
      <c r="F6" s="30">
        <f t="shared" si="0"/>
        <v>10404</v>
      </c>
      <c r="I6" s="30">
        <f t="shared" ref="I6:I24" ca="1" si="1">RANDBETWEEN(95,105)</f>
        <v>103</v>
      </c>
      <c r="J6" s="30">
        <f t="shared" ref="J6:J24" ca="1" si="2">RANDBETWEEN(100,120)</f>
        <v>112</v>
      </c>
    </row>
    <row r="7" spans="2:11" s="30" customFormat="1" ht="18.75" x14ac:dyDescent="0.3">
      <c r="C7" s="30">
        <v>101</v>
      </c>
      <c r="D7" s="30">
        <v>119</v>
      </c>
      <c r="E7" s="30">
        <f t="shared" si="0"/>
        <v>10201</v>
      </c>
      <c r="F7" s="30">
        <f t="shared" si="0"/>
        <v>14161</v>
      </c>
      <c r="I7" s="30">
        <f t="shared" ca="1" si="1"/>
        <v>104</v>
      </c>
      <c r="J7" s="30">
        <f t="shared" ca="1" si="2"/>
        <v>104</v>
      </c>
    </row>
    <row r="8" spans="2:11" s="30" customFormat="1" ht="18.75" x14ac:dyDescent="0.3">
      <c r="C8" s="30">
        <v>99</v>
      </c>
      <c r="D8" s="30">
        <v>110</v>
      </c>
      <c r="E8" s="30">
        <f t="shared" si="0"/>
        <v>9801</v>
      </c>
      <c r="F8" s="30">
        <f t="shared" si="0"/>
        <v>12100</v>
      </c>
      <c r="I8" s="30">
        <f t="shared" ca="1" si="1"/>
        <v>98</v>
      </c>
      <c r="J8" s="30">
        <f t="shared" ca="1" si="2"/>
        <v>120</v>
      </c>
    </row>
    <row r="9" spans="2:11" s="30" customFormat="1" ht="18.75" x14ac:dyDescent="0.3">
      <c r="C9" s="30">
        <v>104</v>
      </c>
      <c r="D9" s="30">
        <v>111</v>
      </c>
      <c r="E9" s="30">
        <f t="shared" si="0"/>
        <v>10816</v>
      </c>
      <c r="F9" s="30">
        <f t="shared" si="0"/>
        <v>12321</v>
      </c>
      <c r="I9" s="30">
        <f t="shared" ca="1" si="1"/>
        <v>101</v>
      </c>
      <c r="J9" s="30">
        <f t="shared" ca="1" si="2"/>
        <v>110</v>
      </c>
    </row>
    <row r="10" spans="2:11" s="30" customFormat="1" ht="18.75" x14ac:dyDescent="0.3">
      <c r="C10" s="30">
        <v>95</v>
      </c>
      <c r="D10" s="30">
        <v>103</v>
      </c>
      <c r="E10" s="30">
        <f t="shared" si="0"/>
        <v>9025</v>
      </c>
      <c r="F10" s="30">
        <f t="shared" si="0"/>
        <v>10609</v>
      </c>
      <c r="I10" s="30">
        <f t="shared" ca="1" si="1"/>
        <v>105</v>
      </c>
      <c r="J10" s="30">
        <f t="shared" ca="1" si="2"/>
        <v>113</v>
      </c>
    </row>
    <row r="11" spans="2:11" s="30" customFormat="1" ht="18.75" x14ac:dyDescent="0.3">
      <c r="C11" s="30">
        <v>99</v>
      </c>
      <c r="D11" s="30">
        <v>118</v>
      </c>
      <c r="E11" s="30">
        <f t="shared" si="0"/>
        <v>9801</v>
      </c>
      <c r="F11" s="30">
        <f t="shared" si="0"/>
        <v>13924</v>
      </c>
      <c r="I11" s="30">
        <f t="shared" ca="1" si="1"/>
        <v>103</v>
      </c>
      <c r="J11" s="30">
        <f t="shared" ca="1" si="2"/>
        <v>116</v>
      </c>
    </row>
    <row r="12" spans="2:11" s="30" customFormat="1" ht="18.75" x14ac:dyDescent="0.3">
      <c r="C12" s="30">
        <v>102</v>
      </c>
      <c r="D12" s="30">
        <v>105</v>
      </c>
      <c r="E12" s="30">
        <f t="shared" si="0"/>
        <v>10404</v>
      </c>
      <c r="F12" s="30">
        <f t="shared" si="0"/>
        <v>11025</v>
      </c>
      <c r="I12" s="30">
        <f t="shared" ca="1" si="1"/>
        <v>100</v>
      </c>
      <c r="J12" s="30">
        <f t="shared" ca="1" si="2"/>
        <v>106</v>
      </c>
    </row>
    <row r="13" spans="2:11" s="30" customFormat="1" ht="18.75" x14ac:dyDescent="0.3">
      <c r="C13" s="30">
        <v>97</v>
      </c>
      <c r="D13" s="30">
        <v>106</v>
      </c>
      <c r="E13" s="30">
        <f t="shared" si="0"/>
        <v>9409</v>
      </c>
      <c r="F13" s="30">
        <f t="shared" si="0"/>
        <v>11236</v>
      </c>
      <c r="I13" s="30">
        <f t="shared" ca="1" si="1"/>
        <v>98</v>
      </c>
      <c r="J13" s="30">
        <f t="shared" ca="1" si="2"/>
        <v>120</v>
      </c>
    </row>
    <row r="14" spans="2:11" s="30" customFormat="1" ht="18.75" x14ac:dyDescent="0.3">
      <c r="C14" s="30">
        <v>104</v>
      </c>
      <c r="D14" s="30">
        <v>104</v>
      </c>
      <c r="E14" s="30">
        <f t="shared" si="0"/>
        <v>10816</v>
      </c>
      <c r="F14" s="30">
        <f t="shared" si="0"/>
        <v>10816</v>
      </c>
      <c r="I14" s="30">
        <f t="shared" ca="1" si="1"/>
        <v>99</v>
      </c>
      <c r="J14" s="30">
        <f t="shared" ca="1" si="2"/>
        <v>114</v>
      </c>
    </row>
    <row r="15" spans="2:11" s="30" customFormat="1" ht="18.75" x14ac:dyDescent="0.3">
      <c r="C15" s="30">
        <v>97</v>
      </c>
      <c r="D15" s="30">
        <v>114</v>
      </c>
      <c r="E15" s="30">
        <f t="shared" si="0"/>
        <v>9409</v>
      </c>
      <c r="F15" s="30">
        <f t="shared" si="0"/>
        <v>12996</v>
      </c>
      <c r="I15" s="30">
        <f t="shared" ca="1" si="1"/>
        <v>104</v>
      </c>
      <c r="J15" s="30">
        <f t="shared" ca="1" si="2"/>
        <v>104</v>
      </c>
    </row>
    <row r="16" spans="2:11" s="30" customFormat="1" ht="18.75" x14ac:dyDescent="0.3">
      <c r="C16" s="30">
        <v>98</v>
      </c>
      <c r="D16" s="30">
        <v>110</v>
      </c>
      <c r="E16" s="30">
        <f t="shared" si="0"/>
        <v>9604</v>
      </c>
      <c r="F16" s="30">
        <f t="shared" si="0"/>
        <v>12100</v>
      </c>
      <c r="I16" s="30">
        <f t="shared" ca="1" si="1"/>
        <v>98</v>
      </c>
      <c r="J16" s="30">
        <f t="shared" ca="1" si="2"/>
        <v>100</v>
      </c>
    </row>
    <row r="17" spans="3:10" s="30" customFormat="1" ht="18.75" x14ac:dyDescent="0.3">
      <c r="C17" s="30">
        <v>105</v>
      </c>
      <c r="D17" s="30">
        <v>119</v>
      </c>
      <c r="E17" s="30">
        <f t="shared" si="0"/>
        <v>11025</v>
      </c>
      <c r="F17" s="30">
        <f t="shared" si="0"/>
        <v>14161</v>
      </c>
      <c r="I17" s="30">
        <f t="shared" ca="1" si="1"/>
        <v>97</v>
      </c>
      <c r="J17" s="30">
        <f t="shared" ca="1" si="2"/>
        <v>101</v>
      </c>
    </row>
    <row r="18" spans="3:10" s="30" customFormat="1" ht="18.75" x14ac:dyDescent="0.3">
      <c r="C18" s="30">
        <v>99</v>
      </c>
      <c r="D18" s="30">
        <v>102</v>
      </c>
      <c r="E18" s="30">
        <f t="shared" si="0"/>
        <v>9801</v>
      </c>
      <c r="F18" s="30">
        <f t="shared" si="0"/>
        <v>10404</v>
      </c>
      <c r="I18" s="30">
        <f t="shared" ca="1" si="1"/>
        <v>96</v>
      </c>
      <c r="J18" s="30">
        <f t="shared" ca="1" si="2"/>
        <v>104</v>
      </c>
    </row>
    <row r="19" spans="3:10" s="30" customFormat="1" ht="18.75" x14ac:dyDescent="0.3">
      <c r="C19" s="30">
        <v>103</v>
      </c>
      <c r="D19" s="30">
        <v>109</v>
      </c>
      <c r="E19" s="30">
        <f t="shared" si="0"/>
        <v>10609</v>
      </c>
      <c r="F19" s="30">
        <f t="shared" si="0"/>
        <v>11881</v>
      </c>
      <c r="I19" s="30">
        <f t="shared" ca="1" si="1"/>
        <v>101</v>
      </c>
      <c r="J19" s="30">
        <f t="shared" ca="1" si="2"/>
        <v>106</v>
      </c>
    </row>
    <row r="20" spans="3:10" s="30" customFormat="1" ht="18.75" x14ac:dyDescent="0.3">
      <c r="C20" s="30">
        <v>102</v>
      </c>
      <c r="D20" s="30">
        <v>110</v>
      </c>
      <c r="E20" s="30">
        <f t="shared" si="0"/>
        <v>10404</v>
      </c>
      <c r="F20" s="30">
        <f t="shared" si="0"/>
        <v>12100</v>
      </c>
      <c r="I20" s="30">
        <f t="shared" ca="1" si="1"/>
        <v>100</v>
      </c>
      <c r="J20" s="30">
        <f t="shared" ca="1" si="2"/>
        <v>111</v>
      </c>
    </row>
    <row r="21" spans="3:10" s="30" customFormat="1" ht="18.75" x14ac:dyDescent="0.3">
      <c r="C21" s="30">
        <v>100</v>
      </c>
      <c r="D21" s="30">
        <v>113</v>
      </c>
      <c r="E21" s="30">
        <f t="shared" si="0"/>
        <v>10000</v>
      </c>
      <c r="F21" s="30">
        <f t="shared" si="0"/>
        <v>12769</v>
      </c>
      <c r="I21" s="30">
        <f t="shared" ca="1" si="1"/>
        <v>99</v>
      </c>
      <c r="J21" s="30">
        <f t="shared" ca="1" si="2"/>
        <v>101</v>
      </c>
    </row>
    <row r="22" spans="3:10" s="30" customFormat="1" ht="18.75" x14ac:dyDescent="0.3">
      <c r="C22" s="30">
        <v>98</v>
      </c>
      <c r="D22" s="30">
        <v>112</v>
      </c>
      <c r="E22" s="30">
        <f t="shared" si="0"/>
        <v>9604</v>
      </c>
      <c r="F22" s="30">
        <f t="shared" si="0"/>
        <v>12544</v>
      </c>
      <c r="I22" s="30">
        <f t="shared" ca="1" si="1"/>
        <v>102</v>
      </c>
      <c r="J22" s="30">
        <f t="shared" ca="1" si="2"/>
        <v>100</v>
      </c>
    </row>
    <row r="23" spans="3:10" s="30" customFormat="1" ht="18.75" x14ac:dyDescent="0.3">
      <c r="C23" s="30">
        <v>95</v>
      </c>
      <c r="D23" s="30">
        <v>104</v>
      </c>
      <c r="E23" s="30">
        <f t="shared" si="0"/>
        <v>9025</v>
      </c>
      <c r="F23" s="30">
        <f t="shared" si="0"/>
        <v>10816</v>
      </c>
      <c r="I23" s="30">
        <f t="shared" ca="1" si="1"/>
        <v>97</v>
      </c>
      <c r="J23" s="30">
        <f t="shared" ca="1" si="2"/>
        <v>103</v>
      </c>
    </row>
    <row r="24" spans="3:10" s="30" customFormat="1" ht="18.75" x14ac:dyDescent="0.3">
      <c r="C24" s="30">
        <v>100</v>
      </c>
      <c r="D24" s="30">
        <v>106</v>
      </c>
      <c r="E24" s="30">
        <f t="shared" si="0"/>
        <v>10000</v>
      </c>
      <c r="F24" s="30">
        <f t="shared" si="0"/>
        <v>11236</v>
      </c>
      <c r="I24" s="30">
        <f t="shared" ca="1" si="1"/>
        <v>97</v>
      </c>
      <c r="J24" s="30">
        <f t="shared" ca="1" si="2"/>
        <v>118</v>
      </c>
    </row>
    <row r="25" spans="3:10" s="30" customFormat="1" ht="18.75" hidden="1" x14ac:dyDescent="0.3">
      <c r="C25" s="171"/>
      <c r="D25" s="172"/>
      <c r="E25" s="30">
        <f t="shared" si="0"/>
        <v>0</v>
      </c>
      <c r="F25" s="30">
        <f t="shared" si="0"/>
        <v>0</v>
      </c>
    </row>
    <row r="26" spans="3:10" s="30" customFormat="1" ht="18.75" hidden="1" x14ac:dyDescent="0.3">
      <c r="C26" s="171"/>
      <c r="D26" s="172"/>
      <c r="E26" s="30">
        <f t="shared" si="0"/>
        <v>0</v>
      </c>
      <c r="F26" s="30">
        <f t="shared" si="0"/>
        <v>0</v>
      </c>
    </row>
    <row r="27" spans="3:10" s="30" customFormat="1" ht="18.75" hidden="1" x14ac:dyDescent="0.3">
      <c r="C27" s="171"/>
      <c r="D27" s="172"/>
      <c r="E27" s="30">
        <f t="shared" si="0"/>
        <v>0</v>
      </c>
      <c r="F27" s="30">
        <f t="shared" si="0"/>
        <v>0</v>
      </c>
    </row>
    <row r="28" spans="3:10" s="30" customFormat="1" ht="18.75" hidden="1" x14ac:dyDescent="0.3">
      <c r="C28" s="171"/>
      <c r="D28" s="172"/>
      <c r="E28" s="30">
        <f t="shared" si="0"/>
        <v>0</v>
      </c>
      <c r="F28" s="30">
        <f t="shared" si="0"/>
        <v>0</v>
      </c>
    </row>
    <row r="29" spans="3:10" s="30" customFormat="1" ht="18.75" hidden="1" x14ac:dyDescent="0.3">
      <c r="C29" s="171"/>
      <c r="D29" s="172"/>
      <c r="E29" s="30">
        <f t="shared" si="0"/>
        <v>0</v>
      </c>
      <c r="F29" s="30">
        <f t="shared" si="0"/>
        <v>0</v>
      </c>
    </row>
    <row r="30" spans="3:10" s="30" customFormat="1" ht="18.75" hidden="1" x14ac:dyDescent="0.3">
      <c r="C30" s="171"/>
      <c r="D30" s="172"/>
      <c r="E30" s="30">
        <f t="shared" si="0"/>
        <v>0</v>
      </c>
      <c r="F30" s="30">
        <f t="shared" si="0"/>
        <v>0</v>
      </c>
    </row>
    <row r="31" spans="3:10" s="30" customFormat="1" ht="18.75" hidden="1" x14ac:dyDescent="0.3">
      <c r="C31" s="171"/>
      <c r="D31" s="172"/>
      <c r="E31" s="30">
        <f t="shared" si="0"/>
        <v>0</v>
      </c>
      <c r="F31" s="30">
        <f t="shared" si="0"/>
        <v>0</v>
      </c>
    </row>
    <row r="32" spans="3:10" s="30" customFormat="1" ht="18.75" hidden="1" x14ac:dyDescent="0.3">
      <c r="C32" s="171"/>
      <c r="D32" s="172"/>
      <c r="E32" s="30">
        <f t="shared" si="0"/>
        <v>0</v>
      </c>
      <c r="F32" s="30">
        <f t="shared" si="0"/>
        <v>0</v>
      </c>
    </row>
    <row r="33" spans="2:11" s="30" customFormat="1" ht="18.75" hidden="1" x14ac:dyDescent="0.3">
      <c r="C33" s="171"/>
      <c r="D33" s="172"/>
      <c r="E33" s="30">
        <f t="shared" si="0"/>
        <v>0</v>
      </c>
      <c r="F33" s="30">
        <f t="shared" si="0"/>
        <v>0</v>
      </c>
    </row>
    <row r="34" spans="2:11" s="30" customFormat="1" ht="18.75" hidden="1" x14ac:dyDescent="0.3">
      <c r="C34" s="171"/>
      <c r="D34" s="172"/>
      <c r="E34" s="30">
        <f t="shared" si="0"/>
        <v>0</v>
      </c>
      <c r="F34" s="30">
        <f t="shared" si="0"/>
        <v>0</v>
      </c>
    </row>
    <row r="35" spans="2:11" s="30" customFormat="1" ht="18.75" hidden="1" x14ac:dyDescent="0.3">
      <c r="C35" s="171"/>
      <c r="D35" s="172"/>
      <c r="E35" s="30">
        <f t="shared" si="0"/>
        <v>0</v>
      </c>
      <c r="F35" s="30">
        <f t="shared" si="0"/>
        <v>0</v>
      </c>
    </row>
    <row r="36" spans="2:11" s="30" customFormat="1" ht="18.75" hidden="1" x14ac:dyDescent="0.3">
      <c r="C36" s="171"/>
      <c r="D36" s="172"/>
      <c r="E36" s="30">
        <f t="shared" si="0"/>
        <v>0</v>
      </c>
      <c r="F36" s="30">
        <f t="shared" si="0"/>
        <v>0</v>
      </c>
    </row>
    <row r="37" spans="2:11" s="30" customFormat="1" ht="18.75" hidden="1" x14ac:dyDescent="0.3">
      <c r="C37" s="171"/>
      <c r="D37" s="172"/>
      <c r="E37" s="30">
        <f t="shared" si="0"/>
        <v>0</v>
      </c>
      <c r="F37" s="30">
        <f t="shared" si="0"/>
        <v>0</v>
      </c>
    </row>
    <row r="38" spans="2:11" s="30" customFormat="1" ht="18.75" hidden="1" x14ac:dyDescent="0.3">
      <c r="C38" s="171"/>
      <c r="D38" s="172"/>
      <c r="E38" s="30">
        <f t="shared" si="0"/>
        <v>0</v>
      </c>
      <c r="F38" s="30">
        <f t="shared" si="0"/>
        <v>0</v>
      </c>
    </row>
    <row r="39" spans="2:11" s="30" customFormat="1" ht="18.75" hidden="1" x14ac:dyDescent="0.3">
      <c r="C39" s="171"/>
      <c r="D39" s="172"/>
      <c r="E39" s="30">
        <f t="shared" si="0"/>
        <v>0</v>
      </c>
      <c r="F39" s="30">
        <f t="shared" si="0"/>
        <v>0</v>
      </c>
    </row>
    <row r="40" spans="2:11" s="9" customFormat="1" ht="21" hidden="1" x14ac:dyDescent="0.35">
      <c r="B40" s="30"/>
      <c r="C40" s="171"/>
      <c r="D40" s="172"/>
      <c r="E40" s="30">
        <f t="shared" si="0"/>
        <v>0</v>
      </c>
      <c r="F40" s="30">
        <f t="shared" si="0"/>
        <v>0</v>
      </c>
      <c r="G40" s="30"/>
      <c r="H40" s="30"/>
      <c r="I40" s="30"/>
      <c r="J40" s="30"/>
      <c r="K40" s="30"/>
    </row>
    <row r="41" spans="2:11" s="9" customFormat="1" ht="21" hidden="1" x14ac:dyDescent="0.35">
      <c r="B41" s="30"/>
      <c r="C41" s="171"/>
      <c r="D41" s="172"/>
      <c r="E41" s="30">
        <f t="shared" si="0"/>
        <v>0</v>
      </c>
      <c r="F41" s="30">
        <f t="shared" si="0"/>
        <v>0</v>
      </c>
      <c r="G41" s="30"/>
      <c r="H41" s="30"/>
      <c r="I41" s="30"/>
      <c r="J41" s="30"/>
      <c r="K41" s="30"/>
    </row>
    <row r="42" spans="2:11" s="9" customFormat="1" ht="21" hidden="1" x14ac:dyDescent="0.35">
      <c r="B42" s="30"/>
      <c r="C42" s="171"/>
      <c r="D42" s="172"/>
      <c r="E42" s="30">
        <f t="shared" si="0"/>
        <v>0</v>
      </c>
      <c r="F42" s="30">
        <f t="shared" si="0"/>
        <v>0</v>
      </c>
      <c r="G42" s="30"/>
      <c r="H42" s="30"/>
      <c r="I42" s="30"/>
      <c r="J42" s="30"/>
      <c r="K42" s="30"/>
    </row>
    <row r="43" spans="2:11" s="9" customFormat="1" ht="21" hidden="1" x14ac:dyDescent="0.35">
      <c r="B43" s="30"/>
      <c r="C43" s="171"/>
      <c r="D43" s="172"/>
      <c r="E43" s="30">
        <f t="shared" si="0"/>
        <v>0</v>
      </c>
      <c r="F43" s="30">
        <f t="shared" si="0"/>
        <v>0</v>
      </c>
      <c r="G43" s="30"/>
      <c r="H43" s="30"/>
      <c r="I43" s="30"/>
      <c r="J43" s="30"/>
    </row>
    <row r="44" spans="2:11" s="9" customFormat="1" ht="21" hidden="1" x14ac:dyDescent="0.35">
      <c r="B44" s="30"/>
      <c r="C44" s="30"/>
      <c r="D44" s="30"/>
      <c r="E44" s="30">
        <f t="shared" si="0"/>
        <v>0</v>
      </c>
      <c r="F44" s="30">
        <f t="shared" si="0"/>
        <v>0</v>
      </c>
      <c r="G44" s="30"/>
      <c r="H44" s="30"/>
      <c r="I44" s="30"/>
      <c r="J44" s="30"/>
    </row>
    <row r="45" spans="2:11" s="9" customFormat="1" ht="21" x14ac:dyDescent="0.35">
      <c r="B45" s="286" t="s">
        <v>4</v>
      </c>
      <c r="C45" s="284">
        <f>COUNT(C5:C44)</f>
        <v>20</v>
      </c>
      <c r="D45" s="284">
        <f>COUNT(D5:D44)</f>
        <v>20</v>
      </c>
      <c r="E45" s="284"/>
      <c r="F45" s="284"/>
      <c r="G45" s="30"/>
      <c r="H45" s="30"/>
      <c r="I45" s="30"/>
      <c r="J45" s="30"/>
    </row>
    <row r="46" spans="2:11" s="9" customFormat="1" ht="21" x14ac:dyDescent="0.35">
      <c r="B46" s="25" t="s">
        <v>5</v>
      </c>
      <c r="C46" s="30">
        <f>SUM(C5:C44)</f>
        <v>1999</v>
      </c>
      <c r="D46" s="30">
        <f>SUM(D5:D44)</f>
        <v>2179</v>
      </c>
      <c r="E46" s="30">
        <f>SUM(E5:E45)</f>
        <v>199995</v>
      </c>
      <c r="F46" s="30">
        <f>SUM(F5:F45)</f>
        <v>238007</v>
      </c>
      <c r="G46" s="30"/>
      <c r="H46" s="30"/>
      <c r="I46" s="30"/>
      <c r="J46" s="30"/>
    </row>
    <row r="47" spans="2:11" s="9" customFormat="1" ht="21.75" thickBot="1" x14ac:dyDescent="0.4">
      <c r="B47" s="25" t="s">
        <v>6</v>
      </c>
      <c r="C47" s="35">
        <f>C46 / C45</f>
        <v>99.95</v>
      </c>
      <c r="D47" s="35">
        <f>D46 / D45</f>
        <v>108.95</v>
      </c>
      <c r="E47" s="30"/>
      <c r="F47" s="30"/>
      <c r="G47" s="30"/>
      <c r="H47" s="30"/>
      <c r="I47" s="30"/>
      <c r="J47" s="30"/>
      <c r="K47" s="30"/>
    </row>
    <row r="48" spans="2:11" s="9" customFormat="1" ht="21.75" thickBot="1" x14ac:dyDescent="0.4">
      <c r="B48" s="30"/>
      <c r="C48" s="30"/>
      <c r="D48" s="30"/>
      <c r="E48" s="30"/>
      <c r="F48" s="30"/>
      <c r="G48" s="30"/>
      <c r="H48" s="162" t="s">
        <v>7</v>
      </c>
      <c r="I48" s="264" t="s">
        <v>8</v>
      </c>
      <c r="J48" s="264" t="s">
        <v>9</v>
      </c>
      <c r="K48" s="157" t="s">
        <v>10</v>
      </c>
    </row>
    <row r="49" spans="2:11" s="9" customFormat="1" ht="21" x14ac:dyDescent="0.35">
      <c r="B49" s="59">
        <v>1</v>
      </c>
      <c r="C49" s="30" t="s">
        <v>11</v>
      </c>
      <c r="D49" s="145">
        <f xml:space="preserve"> C46 + D46</f>
        <v>4178</v>
      </c>
      <c r="E49" s="30"/>
      <c r="F49" s="116" t="s">
        <v>12</v>
      </c>
      <c r="G49" s="65"/>
      <c r="H49" s="277">
        <v>1</v>
      </c>
      <c r="I49" s="279">
        <f>D54</f>
        <v>810</v>
      </c>
      <c r="J49" s="279">
        <f>I49 / H49</f>
        <v>810</v>
      </c>
      <c r="K49" s="282">
        <f xml:space="preserve"> J49 / J50</f>
        <v>38.47980997624591</v>
      </c>
    </row>
    <row r="50" spans="2:11" s="9" customFormat="1" ht="21" x14ac:dyDescent="0.35">
      <c r="B50" s="59">
        <v>2</v>
      </c>
      <c r="C50" s="30" t="s">
        <v>13</v>
      </c>
      <c r="D50" s="145">
        <f>E46 + F46</f>
        <v>438002</v>
      </c>
      <c r="E50" s="30"/>
      <c r="F50" s="67" t="s">
        <v>14</v>
      </c>
      <c r="G50" s="66"/>
      <c r="H50" s="278">
        <f>(C45 +D45) - 2</f>
        <v>38</v>
      </c>
      <c r="I50" s="252">
        <f>D55</f>
        <v>799.90000000002328</v>
      </c>
      <c r="J50" s="252">
        <f xml:space="preserve"> I50 / H50</f>
        <v>21.050000000000612</v>
      </c>
      <c r="K50" s="280"/>
    </row>
    <row r="51" spans="2:11" ht="19.5" thickBot="1" x14ac:dyDescent="0.35">
      <c r="B51" s="59">
        <v>3</v>
      </c>
      <c r="C51" s="30" t="s">
        <v>15</v>
      </c>
      <c r="D51" s="111">
        <f>((C46^2) + (D46^2))/C45</f>
        <v>437202.1</v>
      </c>
      <c r="E51" s="30"/>
      <c r="F51" s="202" t="s">
        <v>11</v>
      </c>
      <c r="G51" s="77"/>
      <c r="H51" s="63">
        <f>H49+H50</f>
        <v>39</v>
      </c>
      <c r="I51" s="276">
        <f xml:space="preserve"> I49 + I50</f>
        <v>1609.9000000000233</v>
      </c>
      <c r="J51" s="276"/>
      <c r="K51" s="281"/>
    </row>
    <row r="52" spans="2:11" ht="18.75" x14ac:dyDescent="0.3">
      <c r="B52" s="59">
        <v>4</v>
      </c>
      <c r="C52" s="113" t="s">
        <v>16</v>
      </c>
      <c r="D52" s="263">
        <f xml:space="preserve"> D49^2 / (C45 + D45)</f>
        <v>436392.1</v>
      </c>
      <c r="E52" s="30"/>
      <c r="F52" s="30"/>
      <c r="G52" s="30"/>
      <c r="H52" s="30"/>
      <c r="I52" s="30"/>
      <c r="J52" s="30"/>
    </row>
    <row r="53" spans="2:11" ht="18.75" x14ac:dyDescent="0.3">
      <c r="B53" s="59">
        <v>5</v>
      </c>
      <c r="C53" s="30" t="s">
        <v>17</v>
      </c>
      <c r="D53" s="111">
        <f xml:space="preserve"> D50 - D52</f>
        <v>1609.9000000000233</v>
      </c>
      <c r="E53" s="30"/>
      <c r="F53" s="30" t="s">
        <v>246</v>
      </c>
      <c r="G53" s="30"/>
      <c r="H53" s="30"/>
      <c r="I53" s="30"/>
      <c r="J53" s="30"/>
    </row>
    <row r="54" spans="2:11" ht="21" x14ac:dyDescent="0.35">
      <c r="B54" s="59">
        <v>6</v>
      </c>
      <c r="C54" s="30" t="s">
        <v>18</v>
      </c>
      <c r="D54" s="145">
        <f xml:space="preserve"> D51 - D52</f>
        <v>810</v>
      </c>
      <c r="E54" s="30"/>
      <c r="F54" s="9" t="s">
        <v>248</v>
      </c>
      <c r="G54" s="9">
        <v>5.99</v>
      </c>
      <c r="H54" s="30"/>
      <c r="I54" s="30"/>
      <c r="J54" s="30"/>
    </row>
    <row r="55" spans="2:11" ht="18.75" x14ac:dyDescent="0.3">
      <c r="B55" s="59">
        <v>7</v>
      </c>
      <c r="C55" s="30" t="s">
        <v>19</v>
      </c>
      <c r="D55" s="111">
        <f xml:space="preserve"> D53 - D54</f>
        <v>799.90000000002328</v>
      </c>
      <c r="E55" s="30"/>
      <c r="F55" s="30"/>
      <c r="G55" s="30"/>
      <c r="H55" s="30"/>
      <c r="I55" s="30"/>
      <c r="J55" s="30"/>
    </row>
    <row r="56" spans="2:11" ht="20.100000000000001" customHeight="1" x14ac:dyDescent="0.25"/>
    <row r="57" spans="2:11" ht="20.100000000000001" customHeight="1" x14ac:dyDescent="0.25">
      <c r="B57" t="s">
        <v>20</v>
      </c>
    </row>
    <row r="58" spans="2:11" ht="20.100000000000001" customHeight="1" x14ac:dyDescent="0.25"/>
    <row r="59" spans="2:11" ht="20.100000000000001" customHeight="1" x14ac:dyDescent="0.25"/>
    <row r="60" spans="2:11" ht="20.100000000000001" customHeight="1" thickBot="1" x14ac:dyDescent="0.3"/>
    <row r="61" spans="2:11" ht="30" x14ac:dyDescent="0.3">
      <c r="B61" s="76"/>
      <c r="C61" s="261" t="s">
        <v>86</v>
      </c>
      <c r="D61" s="78">
        <v>44</v>
      </c>
      <c r="E61" s="78">
        <v>13</v>
      </c>
      <c r="F61" s="78">
        <v>5</v>
      </c>
      <c r="G61" s="65">
        <v>38</v>
      </c>
      <c r="H61" s="79"/>
    </row>
    <row r="62" spans="2:11" ht="19.5" thickBot="1" x14ac:dyDescent="0.35">
      <c r="B62" s="184"/>
      <c r="C62" s="262" t="s">
        <v>87</v>
      </c>
      <c r="D62" s="64">
        <v>36</v>
      </c>
      <c r="E62" s="64">
        <v>23</v>
      </c>
      <c r="F62" s="64">
        <v>8</v>
      </c>
      <c r="G62" s="77">
        <v>34</v>
      </c>
      <c r="H62" s="160"/>
    </row>
    <row r="63" spans="2:11" ht="19.5" thickBot="1" x14ac:dyDescent="0.35">
      <c r="C63" s="260"/>
      <c r="H63" s="79"/>
    </row>
    <row r="64" spans="2:11" ht="30" x14ac:dyDescent="0.3">
      <c r="B64" s="76"/>
      <c r="C64" s="261" t="s">
        <v>86</v>
      </c>
      <c r="D64" s="78">
        <v>88</v>
      </c>
      <c r="E64" s="78">
        <v>26</v>
      </c>
      <c r="F64" s="78">
        <v>10</v>
      </c>
      <c r="G64" s="65">
        <v>76</v>
      </c>
      <c r="H64" s="79"/>
    </row>
    <row r="65" spans="2:8" ht="19.5" thickBot="1" x14ac:dyDescent="0.35">
      <c r="B65" s="184"/>
      <c r="C65" s="262" t="s">
        <v>87</v>
      </c>
      <c r="D65" s="64">
        <v>72</v>
      </c>
      <c r="E65" s="64">
        <v>46</v>
      </c>
      <c r="F65" s="64">
        <v>16</v>
      </c>
      <c r="G65" s="77">
        <v>68</v>
      </c>
      <c r="H65" s="160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A4DEE-CD23-4B7C-A922-5F9BB0185C14}">
  <sheetPr>
    <tabColor rgb="FFFF66FF"/>
  </sheetPr>
  <dimension ref="B1:W42"/>
  <sheetViews>
    <sheetView workbookViewId="0">
      <pane ySplit="4" topLeftCell="A5" activePane="bottomLeft" state="frozen"/>
      <selection pane="bottomLeft" activeCell="Z19" sqref="Z19"/>
    </sheetView>
  </sheetViews>
  <sheetFormatPr defaultRowHeight="15" x14ac:dyDescent="0.25"/>
  <sheetData>
    <row r="1" spans="2:23" ht="20.100000000000001" customHeight="1" x14ac:dyDescent="0.25">
      <c r="C1" s="632" t="s">
        <v>254</v>
      </c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</row>
    <row r="2" spans="2:23" ht="20.100000000000001" customHeight="1" x14ac:dyDescent="0.25"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</row>
    <row r="3" spans="2:23" ht="20.100000000000001" customHeight="1" x14ac:dyDescent="0.3">
      <c r="C3" s="271" t="s">
        <v>253</v>
      </c>
      <c r="D3" s="2"/>
      <c r="E3" s="2"/>
      <c r="F3" s="2"/>
      <c r="G3" s="2"/>
      <c r="H3" s="2"/>
    </row>
    <row r="4" spans="2:23" ht="18.75" x14ac:dyDescent="0.25">
      <c r="B4" s="270" t="s">
        <v>249</v>
      </c>
      <c r="C4" s="272" t="s">
        <v>252</v>
      </c>
      <c r="D4" s="272">
        <v>2</v>
      </c>
      <c r="E4" s="272">
        <v>3</v>
      </c>
      <c r="F4" s="272">
        <v>4</v>
      </c>
      <c r="G4" s="272">
        <v>5</v>
      </c>
      <c r="H4" s="272">
        <v>6</v>
      </c>
      <c r="I4" s="272">
        <v>7</v>
      </c>
      <c r="J4" s="272">
        <v>8</v>
      </c>
      <c r="K4" s="272">
        <v>9</v>
      </c>
      <c r="L4" s="272">
        <v>10</v>
      </c>
      <c r="M4" s="272">
        <v>12</v>
      </c>
      <c r="N4" s="272">
        <v>15</v>
      </c>
      <c r="O4" s="272">
        <v>20</v>
      </c>
      <c r="P4" s="272">
        <v>24</v>
      </c>
      <c r="Q4" s="272">
        <v>30</v>
      </c>
      <c r="R4" s="272">
        <v>40</v>
      </c>
      <c r="S4" s="272">
        <v>60</v>
      </c>
      <c r="T4" s="272">
        <v>120</v>
      </c>
      <c r="U4" s="272" t="s">
        <v>250</v>
      </c>
    </row>
    <row r="5" spans="2:23" ht="18.75" x14ac:dyDescent="0.25">
      <c r="B5" s="272" t="s">
        <v>251</v>
      </c>
      <c r="C5" s="269">
        <v>161.44759999999999</v>
      </c>
      <c r="D5" s="269">
        <v>199.5</v>
      </c>
      <c r="E5" s="269">
        <v>215.7073</v>
      </c>
      <c r="F5" s="269">
        <v>224.58320000000001</v>
      </c>
      <c r="G5" s="269">
        <v>230.1619</v>
      </c>
      <c r="H5" s="269">
        <v>233.98599999999999</v>
      </c>
      <c r="I5" s="269">
        <v>236.76840000000001</v>
      </c>
      <c r="J5" s="269">
        <v>238.8827</v>
      </c>
      <c r="K5" s="269">
        <v>240.54329999999999</v>
      </c>
      <c r="L5" s="269">
        <v>241.8817</v>
      </c>
      <c r="M5" s="269">
        <v>243.90600000000001</v>
      </c>
      <c r="N5" s="269">
        <v>245.94990000000001</v>
      </c>
      <c r="O5" s="269">
        <v>248.01310000000001</v>
      </c>
      <c r="P5" s="269">
        <v>249.05179999999999</v>
      </c>
      <c r="Q5" s="269">
        <v>250.0951</v>
      </c>
      <c r="R5" s="269">
        <v>251.14320000000001</v>
      </c>
      <c r="S5" s="269">
        <v>252.19569999999999</v>
      </c>
      <c r="T5" s="269">
        <v>253.25290000000001</v>
      </c>
      <c r="U5" s="269">
        <v>254.31440000000001</v>
      </c>
    </row>
    <row r="6" spans="2:23" ht="15.75" x14ac:dyDescent="0.25">
      <c r="B6" s="272">
        <v>2</v>
      </c>
      <c r="C6" s="269">
        <v>18.512799999999999</v>
      </c>
      <c r="D6" s="269">
        <v>19</v>
      </c>
      <c r="E6" s="269">
        <v>19.164300000000001</v>
      </c>
      <c r="F6" s="269">
        <v>19.2468</v>
      </c>
      <c r="G6" s="269">
        <v>19.296399999999998</v>
      </c>
      <c r="H6" s="269">
        <v>19.329499999999999</v>
      </c>
      <c r="I6" s="269">
        <v>19.353200000000001</v>
      </c>
      <c r="J6" s="269">
        <v>19.370999999999999</v>
      </c>
      <c r="K6" s="269">
        <v>19.384799999999998</v>
      </c>
      <c r="L6" s="269">
        <v>19.395900000000001</v>
      </c>
      <c r="M6" s="269">
        <v>19.412500000000001</v>
      </c>
      <c r="N6" s="269">
        <v>19.429099999999998</v>
      </c>
      <c r="O6" s="269">
        <v>19.445799999999998</v>
      </c>
      <c r="P6" s="269">
        <v>19.4541</v>
      </c>
      <c r="Q6" s="269">
        <v>19.462399999999999</v>
      </c>
      <c r="R6" s="269">
        <v>19.470700000000001</v>
      </c>
      <c r="S6" s="269">
        <v>19.479099999999999</v>
      </c>
      <c r="T6" s="269">
        <v>19.487400000000001</v>
      </c>
      <c r="U6" s="269">
        <v>19.495699999999999</v>
      </c>
    </row>
    <row r="7" spans="2:23" ht="15.75" x14ac:dyDescent="0.25">
      <c r="B7" s="272">
        <v>3</v>
      </c>
      <c r="C7" s="269">
        <v>10.128</v>
      </c>
      <c r="D7" s="269">
        <v>9.5520999999999994</v>
      </c>
      <c r="E7" s="269">
        <v>9.2766000000000002</v>
      </c>
      <c r="F7" s="269">
        <v>9.1172000000000004</v>
      </c>
      <c r="G7" s="269">
        <v>9.0135000000000005</v>
      </c>
      <c r="H7" s="269">
        <v>8.9405999999999999</v>
      </c>
      <c r="I7" s="269">
        <v>8.8866999999999994</v>
      </c>
      <c r="J7" s="269">
        <v>8.8452000000000002</v>
      </c>
      <c r="K7" s="269">
        <v>8.8123000000000005</v>
      </c>
      <c r="L7" s="269">
        <v>8.7855000000000008</v>
      </c>
      <c r="M7" s="269">
        <v>8.7446000000000002</v>
      </c>
      <c r="N7" s="269">
        <v>8.7028999999999996</v>
      </c>
      <c r="O7" s="269">
        <v>8.6601999999999997</v>
      </c>
      <c r="P7" s="269">
        <v>8.6385000000000005</v>
      </c>
      <c r="Q7" s="269">
        <v>8.6166</v>
      </c>
      <c r="R7" s="269">
        <v>8.5944000000000003</v>
      </c>
      <c r="S7" s="269">
        <v>8.5719999999999992</v>
      </c>
      <c r="T7" s="269">
        <v>8.5494000000000003</v>
      </c>
      <c r="U7" s="269">
        <v>8.5264000000000006</v>
      </c>
    </row>
    <row r="8" spans="2:23" ht="15.75" x14ac:dyDescent="0.25">
      <c r="B8" s="272">
        <v>4</v>
      </c>
      <c r="C8" s="269">
        <v>7.7085999999999997</v>
      </c>
      <c r="D8" s="269">
        <v>6.9443000000000001</v>
      </c>
      <c r="E8" s="269">
        <v>6.5914000000000001</v>
      </c>
      <c r="F8" s="269">
        <v>6.3882000000000003</v>
      </c>
      <c r="G8" s="269">
        <v>6.2561</v>
      </c>
      <c r="H8" s="269">
        <v>6.1631</v>
      </c>
      <c r="I8" s="269">
        <v>6.0941999999999998</v>
      </c>
      <c r="J8" s="269">
        <v>6.0410000000000004</v>
      </c>
      <c r="K8" s="269">
        <v>5.9988000000000001</v>
      </c>
      <c r="L8" s="269">
        <v>5.9644000000000004</v>
      </c>
      <c r="M8" s="269">
        <v>5.9116999999999997</v>
      </c>
      <c r="N8" s="269">
        <v>5.8578000000000001</v>
      </c>
      <c r="O8" s="269">
        <v>5.8025000000000002</v>
      </c>
      <c r="P8" s="269">
        <v>5.7744</v>
      </c>
      <c r="Q8" s="269">
        <v>5.7458999999999998</v>
      </c>
      <c r="R8" s="269">
        <v>5.7169999999999996</v>
      </c>
      <c r="S8" s="269">
        <v>5.6877000000000004</v>
      </c>
      <c r="T8" s="269">
        <v>5.6581000000000001</v>
      </c>
      <c r="U8" s="269">
        <v>5.6280999999999999</v>
      </c>
    </row>
    <row r="9" spans="2:23" ht="15.75" x14ac:dyDescent="0.25">
      <c r="B9" s="272">
        <v>5</v>
      </c>
      <c r="C9" s="269">
        <v>6.6078999999999999</v>
      </c>
      <c r="D9" s="269">
        <v>5.7861000000000002</v>
      </c>
      <c r="E9" s="269">
        <v>5.4095000000000004</v>
      </c>
      <c r="F9" s="269">
        <v>5.1921999999999997</v>
      </c>
      <c r="G9" s="269">
        <v>5.0503</v>
      </c>
      <c r="H9" s="269">
        <v>4.9503000000000004</v>
      </c>
      <c r="I9" s="269">
        <v>4.8758999999999997</v>
      </c>
      <c r="J9" s="269">
        <v>4.8182999999999998</v>
      </c>
      <c r="K9" s="269">
        <v>4.7725</v>
      </c>
      <c r="L9" s="269">
        <v>4.7351000000000001</v>
      </c>
      <c r="M9" s="269">
        <v>4.6776999999999997</v>
      </c>
      <c r="N9" s="269">
        <v>4.6188000000000002</v>
      </c>
      <c r="O9" s="269">
        <v>4.5580999999999996</v>
      </c>
      <c r="P9" s="269">
        <v>4.5271999999999997</v>
      </c>
      <c r="Q9" s="269">
        <v>4.4957000000000003</v>
      </c>
      <c r="R9" s="269">
        <v>4.4638</v>
      </c>
      <c r="S9" s="269">
        <v>4.4314</v>
      </c>
      <c r="T9" s="269">
        <v>4.3985000000000003</v>
      </c>
      <c r="U9" s="269">
        <v>4.3650000000000002</v>
      </c>
    </row>
    <row r="10" spans="2:23" ht="15.75" x14ac:dyDescent="0.25">
      <c r="B10" s="272">
        <v>6</v>
      </c>
      <c r="C10" s="269">
        <v>5.9874000000000001</v>
      </c>
      <c r="D10" s="269">
        <v>5.1433</v>
      </c>
      <c r="E10" s="269">
        <v>4.7571000000000003</v>
      </c>
      <c r="F10" s="269">
        <v>4.5336999999999996</v>
      </c>
      <c r="G10" s="269">
        <v>4.3874000000000004</v>
      </c>
      <c r="H10" s="269">
        <v>4.2839</v>
      </c>
      <c r="I10" s="269">
        <v>4.2066999999999997</v>
      </c>
      <c r="J10" s="269">
        <v>4.1467999999999998</v>
      </c>
      <c r="K10" s="269">
        <v>4.0990000000000002</v>
      </c>
      <c r="L10" s="269">
        <v>4.0599999999999996</v>
      </c>
      <c r="M10" s="269">
        <v>3.9998999999999998</v>
      </c>
      <c r="N10" s="269">
        <v>3.9380999999999999</v>
      </c>
      <c r="O10" s="269">
        <v>3.8742000000000001</v>
      </c>
      <c r="P10" s="269">
        <v>3.8414999999999999</v>
      </c>
      <c r="Q10" s="269">
        <v>3.8081999999999998</v>
      </c>
      <c r="R10" s="269">
        <v>3.7743000000000002</v>
      </c>
      <c r="S10" s="269">
        <v>3.7397999999999998</v>
      </c>
      <c r="T10" s="269">
        <v>3.7046999999999999</v>
      </c>
      <c r="U10" s="269">
        <v>3.6688999999999998</v>
      </c>
    </row>
    <row r="11" spans="2:23" ht="15.75" x14ac:dyDescent="0.25">
      <c r="B11" s="272">
        <v>7</v>
      </c>
      <c r="C11" s="269">
        <v>5.5914000000000001</v>
      </c>
      <c r="D11" s="269">
        <v>4.7374000000000001</v>
      </c>
      <c r="E11" s="269">
        <v>4.3468</v>
      </c>
      <c r="F11" s="269">
        <v>4.1203000000000003</v>
      </c>
      <c r="G11" s="269">
        <v>3.9714999999999998</v>
      </c>
      <c r="H11" s="269">
        <v>3.8660000000000001</v>
      </c>
      <c r="I11" s="269">
        <v>3.7869999999999999</v>
      </c>
      <c r="J11" s="269">
        <v>3.7256999999999998</v>
      </c>
      <c r="K11" s="269">
        <v>3.6766999999999999</v>
      </c>
      <c r="L11" s="269">
        <v>3.6364999999999998</v>
      </c>
      <c r="M11" s="269">
        <v>3.5747</v>
      </c>
      <c r="N11" s="269">
        <v>3.5106999999999999</v>
      </c>
      <c r="O11" s="269">
        <v>3.4445000000000001</v>
      </c>
      <c r="P11" s="269">
        <v>3.4104999999999999</v>
      </c>
      <c r="Q11" s="269">
        <v>3.3757999999999999</v>
      </c>
      <c r="R11" s="269">
        <v>3.3403999999999998</v>
      </c>
      <c r="S11" s="269">
        <v>3.3043</v>
      </c>
      <c r="T11" s="269">
        <v>3.2673999999999999</v>
      </c>
      <c r="U11" s="269">
        <v>3.2298</v>
      </c>
    </row>
    <row r="12" spans="2:23" ht="15.75" x14ac:dyDescent="0.25">
      <c r="B12" s="272">
        <v>8</v>
      </c>
      <c r="C12" s="269">
        <v>5.3177000000000003</v>
      </c>
      <c r="D12" s="269">
        <v>4.4589999999999996</v>
      </c>
      <c r="E12" s="269">
        <v>4.0662000000000003</v>
      </c>
      <c r="F12" s="269">
        <v>3.8378999999999999</v>
      </c>
      <c r="G12" s="269">
        <v>3.6875</v>
      </c>
      <c r="H12" s="269">
        <v>3.5806</v>
      </c>
      <c r="I12" s="269">
        <v>3.5005000000000002</v>
      </c>
      <c r="J12" s="269">
        <v>3.4380999999999999</v>
      </c>
      <c r="K12" s="269">
        <v>3.3881000000000001</v>
      </c>
      <c r="L12" s="269">
        <v>3.3472</v>
      </c>
      <c r="M12" s="269">
        <v>3.2839</v>
      </c>
      <c r="N12" s="269">
        <v>3.2183999999999999</v>
      </c>
      <c r="O12" s="269">
        <v>3.1503000000000001</v>
      </c>
      <c r="P12" s="269">
        <v>3.1152000000000002</v>
      </c>
      <c r="Q12" s="269">
        <v>3.0794000000000001</v>
      </c>
      <c r="R12" s="269">
        <v>3.0428000000000002</v>
      </c>
      <c r="S12" s="269">
        <v>3.0053000000000001</v>
      </c>
      <c r="T12" s="269">
        <v>2.9668999999999999</v>
      </c>
      <c r="U12" s="269">
        <v>2.9276</v>
      </c>
    </row>
    <row r="13" spans="2:23" ht="15.75" x14ac:dyDescent="0.25">
      <c r="B13" s="272">
        <v>9</v>
      </c>
      <c r="C13" s="269">
        <v>5.1173999999999999</v>
      </c>
      <c r="D13" s="269">
        <v>4.2565</v>
      </c>
      <c r="E13" s="269">
        <v>3.8624999999999998</v>
      </c>
      <c r="F13" s="269">
        <v>3.6331000000000002</v>
      </c>
      <c r="G13" s="269">
        <v>3.4817</v>
      </c>
      <c r="H13" s="269">
        <v>3.3738000000000001</v>
      </c>
      <c r="I13" s="269">
        <v>3.2927</v>
      </c>
      <c r="J13" s="269">
        <v>3.2296</v>
      </c>
      <c r="K13" s="269">
        <v>3.1789000000000001</v>
      </c>
      <c r="L13" s="269">
        <v>3.1373000000000002</v>
      </c>
      <c r="M13" s="269">
        <v>3.0729000000000002</v>
      </c>
      <c r="N13" s="269">
        <v>3.0061</v>
      </c>
      <c r="O13" s="269">
        <v>2.9365000000000001</v>
      </c>
      <c r="P13" s="269">
        <v>2.9005000000000001</v>
      </c>
      <c r="Q13" s="269">
        <v>2.8637000000000001</v>
      </c>
      <c r="R13" s="269">
        <v>2.8258999999999999</v>
      </c>
      <c r="S13" s="269">
        <v>2.7871999999999999</v>
      </c>
      <c r="T13" s="269">
        <v>2.7475000000000001</v>
      </c>
      <c r="U13" s="269">
        <v>2.7067000000000001</v>
      </c>
    </row>
    <row r="14" spans="2:23" ht="15.75" x14ac:dyDescent="0.25">
      <c r="B14" s="272">
        <v>10</v>
      </c>
      <c r="C14" s="269">
        <v>4.9645999999999999</v>
      </c>
      <c r="D14" s="269">
        <v>4.1028000000000002</v>
      </c>
      <c r="E14" s="269">
        <v>3.7082999999999999</v>
      </c>
      <c r="F14" s="269">
        <v>3.4780000000000002</v>
      </c>
      <c r="G14" s="269">
        <v>3.3258000000000001</v>
      </c>
      <c r="H14" s="269">
        <v>3.2172000000000001</v>
      </c>
      <c r="I14" s="269">
        <v>3.1355</v>
      </c>
      <c r="J14" s="269">
        <v>3.0716999999999999</v>
      </c>
      <c r="K14" s="269">
        <v>3.0204</v>
      </c>
      <c r="L14" s="269">
        <v>2.9782000000000002</v>
      </c>
      <c r="M14" s="269">
        <v>2.9129999999999998</v>
      </c>
      <c r="N14" s="269">
        <v>2.8450000000000002</v>
      </c>
      <c r="O14" s="269">
        <v>2.774</v>
      </c>
      <c r="P14" s="269">
        <v>2.7372000000000001</v>
      </c>
      <c r="Q14" s="269">
        <v>2.6996000000000002</v>
      </c>
      <c r="R14" s="269">
        <v>2.6608999999999998</v>
      </c>
      <c r="S14" s="269">
        <v>2.6211000000000002</v>
      </c>
      <c r="T14" s="269">
        <v>2.5800999999999998</v>
      </c>
      <c r="U14" s="269">
        <v>2.5379</v>
      </c>
    </row>
    <row r="15" spans="2:23" ht="15.75" x14ac:dyDescent="0.25">
      <c r="B15" s="272">
        <v>11</v>
      </c>
      <c r="C15" s="269">
        <v>4.8442999999999996</v>
      </c>
      <c r="D15" s="269">
        <v>3.9823</v>
      </c>
      <c r="E15" s="269">
        <v>3.5874000000000001</v>
      </c>
      <c r="F15" s="269">
        <v>3.3567</v>
      </c>
      <c r="G15" s="269">
        <v>3.2039</v>
      </c>
      <c r="H15" s="269">
        <v>3.0945999999999998</v>
      </c>
      <c r="I15" s="269">
        <v>3.0123000000000002</v>
      </c>
      <c r="J15" s="269">
        <v>2.948</v>
      </c>
      <c r="K15" s="269">
        <v>2.8961999999999999</v>
      </c>
      <c r="L15" s="269">
        <v>2.8536000000000001</v>
      </c>
      <c r="M15" s="269">
        <v>2.7875999999999999</v>
      </c>
      <c r="N15" s="269">
        <v>2.7185999999999999</v>
      </c>
      <c r="O15" s="269">
        <v>2.6463999999999999</v>
      </c>
      <c r="P15" s="269">
        <v>2.609</v>
      </c>
      <c r="Q15" s="269">
        <v>2.5705</v>
      </c>
      <c r="R15" s="269">
        <v>2.5308999999999999</v>
      </c>
      <c r="S15" s="269">
        <v>2.4901</v>
      </c>
      <c r="T15" s="269">
        <v>2.448</v>
      </c>
      <c r="U15" s="269">
        <v>2.4045000000000001</v>
      </c>
    </row>
    <row r="16" spans="2:23" ht="15.75" x14ac:dyDescent="0.25">
      <c r="B16" s="272">
        <v>12</v>
      </c>
      <c r="C16" s="269">
        <v>4.7472000000000003</v>
      </c>
      <c r="D16" s="269">
        <v>3.8853</v>
      </c>
      <c r="E16" s="269">
        <v>3.4903</v>
      </c>
      <c r="F16" s="269">
        <v>3.2591999999999999</v>
      </c>
      <c r="G16" s="269">
        <v>3.1059000000000001</v>
      </c>
      <c r="H16" s="269">
        <v>2.9961000000000002</v>
      </c>
      <c r="I16" s="269">
        <v>2.9134000000000002</v>
      </c>
      <c r="J16" s="269">
        <v>2.8485999999999998</v>
      </c>
      <c r="K16" s="269">
        <v>2.7964000000000002</v>
      </c>
      <c r="L16" s="269">
        <v>2.7534000000000001</v>
      </c>
      <c r="M16" s="269">
        <v>2.6865999999999999</v>
      </c>
      <c r="N16" s="269">
        <v>2.6168999999999998</v>
      </c>
      <c r="O16" s="269">
        <v>2.5436000000000001</v>
      </c>
      <c r="P16" s="269">
        <v>2.5055000000000001</v>
      </c>
      <c r="Q16" s="269">
        <v>2.4662999999999999</v>
      </c>
      <c r="R16" s="269">
        <v>2.4258999999999999</v>
      </c>
      <c r="S16" s="269">
        <v>2.3841999999999999</v>
      </c>
      <c r="T16" s="269">
        <v>2.3410000000000002</v>
      </c>
      <c r="U16" s="269">
        <v>2.2961999999999998</v>
      </c>
    </row>
    <row r="17" spans="2:21" ht="15.75" x14ac:dyDescent="0.25">
      <c r="B17" s="272">
        <v>13</v>
      </c>
      <c r="C17" s="269">
        <v>4.6672000000000002</v>
      </c>
      <c r="D17" s="269">
        <v>3.8056000000000001</v>
      </c>
      <c r="E17" s="269">
        <v>3.4104999999999999</v>
      </c>
      <c r="F17" s="269">
        <v>3.1791</v>
      </c>
      <c r="G17" s="269">
        <v>3.0253999999999999</v>
      </c>
      <c r="H17" s="269">
        <v>2.9152999999999998</v>
      </c>
      <c r="I17" s="269">
        <v>2.8321000000000001</v>
      </c>
      <c r="J17" s="269">
        <v>2.7669000000000001</v>
      </c>
      <c r="K17" s="269">
        <v>2.7143999999999999</v>
      </c>
      <c r="L17" s="269">
        <v>2.6709999999999998</v>
      </c>
      <c r="M17" s="269">
        <v>2.6036999999999999</v>
      </c>
      <c r="N17" s="269">
        <v>2.5331000000000001</v>
      </c>
      <c r="O17" s="269">
        <v>2.4588999999999999</v>
      </c>
      <c r="P17" s="269">
        <v>2.4201999999999999</v>
      </c>
      <c r="Q17" s="269">
        <v>2.3803000000000001</v>
      </c>
      <c r="R17" s="269">
        <v>2.3391999999999999</v>
      </c>
      <c r="S17" s="269">
        <v>2.2966000000000002</v>
      </c>
      <c r="T17" s="269">
        <v>2.2524000000000002</v>
      </c>
      <c r="U17" s="269">
        <v>2.2063999999999999</v>
      </c>
    </row>
    <row r="18" spans="2:21" ht="15.75" x14ac:dyDescent="0.25">
      <c r="B18" s="272">
        <v>14</v>
      </c>
      <c r="C18" s="269">
        <v>4.6001000000000003</v>
      </c>
      <c r="D18" s="269">
        <v>3.7389000000000001</v>
      </c>
      <c r="E18" s="269">
        <v>3.3439000000000001</v>
      </c>
      <c r="F18" s="269">
        <v>3.1122000000000001</v>
      </c>
      <c r="G18" s="269">
        <v>2.9582000000000002</v>
      </c>
      <c r="H18" s="269">
        <v>2.8477000000000001</v>
      </c>
      <c r="I18" s="269">
        <v>2.7642000000000002</v>
      </c>
      <c r="J18" s="269">
        <v>2.6987000000000001</v>
      </c>
      <c r="K18" s="269">
        <v>2.6457999999999999</v>
      </c>
      <c r="L18" s="269">
        <v>2.6021999999999998</v>
      </c>
      <c r="M18" s="269">
        <v>2.5341999999999998</v>
      </c>
      <c r="N18" s="269">
        <v>2.4630000000000001</v>
      </c>
      <c r="O18" s="269">
        <v>2.3879000000000001</v>
      </c>
      <c r="P18" s="269">
        <v>2.3487</v>
      </c>
      <c r="Q18" s="269">
        <v>2.3081999999999998</v>
      </c>
      <c r="R18" s="269">
        <v>2.2664</v>
      </c>
      <c r="S18" s="269">
        <v>2.2229000000000001</v>
      </c>
      <c r="T18" s="269">
        <v>2.1778</v>
      </c>
      <c r="U18" s="269">
        <v>2.1307</v>
      </c>
    </row>
    <row r="19" spans="2:21" ht="15.75" x14ac:dyDescent="0.25">
      <c r="B19" s="272">
        <v>15</v>
      </c>
      <c r="C19" s="269">
        <v>4.5430999999999999</v>
      </c>
      <c r="D19" s="269">
        <v>3.6823000000000001</v>
      </c>
      <c r="E19" s="269">
        <v>3.2873999999999999</v>
      </c>
      <c r="F19" s="269">
        <v>3.0556000000000001</v>
      </c>
      <c r="G19" s="269">
        <v>2.9013</v>
      </c>
      <c r="H19" s="269">
        <v>2.7905000000000002</v>
      </c>
      <c r="I19" s="269">
        <v>2.7065999999999999</v>
      </c>
      <c r="J19" s="269">
        <v>2.6408</v>
      </c>
      <c r="K19" s="269">
        <v>2.5876000000000001</v>
      </c>
      <c r="L19" s="269">
        <v>2.5436999999999999</v>
      </c>
      <c r="M19" s="269">
        <v>2.4752999999999998</v>
      </c>
      <c r="N19" s="269">
        <v>2.4034</v>
      </c>
      <c r="O19" s="269">
        <v>2.3275000000000001</v>
      </c>
      <c r="P19" s="269">
        <v>2.2877999999999998</v>
      </c>
      <c r="Q19" s="269">
        <v>2.2467999999999999</v>
      </c>
      <c r="R19" s="269">
        <v>2.2042999999999999</v>
      </c>
      <c r="S19" s="269">
        <v>2.1600999999999999</v>
      </c>
      <c r="T19" s="269">
        <v>2.1141000000000001</v>
      </c>
      <c r="U19" s="269">
        <v>2.0657999999999999</v>
      </c>
    </row>
    <row r="20" spans="2:21" ht="15.75" x14ac:dyDescent="0.25">
      <c r="B20" s="272">
        <v>16</v>
      </c>
      <c r="C20" s="269">
        <v>4.4939999999999998</v>
      </c>
      <c r="D20" s="269">
        <v>3.6337000000000002</v>
      </c>
      <c r="E20" s="269">
        <v>3.2389000000000001</v>
      </c>
      <c r="F20" s="269">
        <v>3.0068999999999999</v>
      </c>
      <c r="G20" s="269">
        <v>2.8523999999999998</v>
      </c>
      <c r="H20" s="269">
        <v>2.7412999999999998</v>
      </c>
      <c r="I20" s="269">
        <v>2.6572</v>
      </c>
      <c r="J20" s="269">
        <v>2.5911</v>
      </c>
      <c r="K20" s="269">
        <v>2.5377000000000001</v>
      </c>
      <c r="L20" s="269">
        <v>2.4935</v>
      </c>
      <c r="M20" s="269">
        <v>2.4247000000000001</v>
      </c>
      <c r="N20" s="269">
        <v>2.3521999999999998</v>
      </c>
      <c r="O20" s="269">
        <v>2.2755999999999998</v>
      </c>
      <c r="P20" s="269">
        <v>2.2353999999999998</v>
      </c>
      <c r="Q20" s="269">
        <v>2.1938</v>
      </c>
      <c r="R20" s="269">
        <v>2.1507000000000001</v>
      </c>
      <c r="S20" s="269">
        <v>2.1057999999999999</v>
      </c>
      <c r="T20" s="269">
        <v>2.0589</v>
      </c>
      <c r="U20" s="269">
        <v>2.0095999999999998</v>
      </c>
    </row>
    <row r="21" spans="2:21" ht="15.75" x14ac:dyDescent="0.25">
      <c r="B21" s="272">
        <v>17</v>
      </c>
      <c r="C21" s="269">
        <v>4.4512999999999998</v>
      </c>
      <c r="D21" s="269">
        <v>3.5914999999999999</v>
      </c>
      <c r="E21" s="269">
        <v>3.1968000000000001</v>
      </c>
      <c r="F21" s="269">
        <v>2.9647000000000001</v>
      </c>
      <c r="G21" s="269">
        <v>2.81</v>
      </c>
      <c r="H21" s="269">
        <v>2.6987000000000001</v>
      </c>
      <c r="I21" s="269">
        <v>2.6143000000000001</v>
      </c>
      <c r="J21" s="269">
        <v>2.548</v>
      </c>
      <c r="K21" s="269">
        <v>2.4943</v>
      </c>
      <c r="L21" s="269">
        <v>2.4499</v>
      </c>
      <c r="M21" s="269">
        <v>2.3807</v>
      </c>
      <c r="N21" s="269">
        <v>2.3077000000000001</v>
      </c>
      <c r="O21" s="269">
        <v>2.2303999999999999</v>
      </c>
      <c r="P21" s="269">
        <v>2.1898</v>
      </c>
      <c r="Q21" s="269">
        <v>2.1476999999999999</v>
      </c>
      <c r="R21" s="269">
        <v>2.1040000000000001</v>
      </c>
      <c r="S21" s="269">
        <v>2.0583999999999998</v>
      </c>
      <c r="T21" s="269">
        <v>2.0106999999999999</v>
      </c>
      <c r="U21" s="269">
        <v>1.9603999999999999</v>
      </c>
    </row>
    <row r="22" spans="2:21" ht="15.75" x14ac:dyDescent="0.25">
      <c r="B22" s="272">
        <v>18</v>
      </c>
      <c r="C22" s="441">
        <v>4.4138999999999999</v>
      </c>
      <c r="D22" s="269">
        <v>3.5546000000000002</v>
      </c>
      <c r="E22" s="269">
        <v>3.1598999999999999</v>
      </c>
      <c r="F22" s="269">
        <v>2.9277000000000002</v>
      </c>
      <c r="G22" s="269">
        <v>2.7728999999999999</v>
      </c>
      <c r="H22" s="269">
        <v>2.6613000000000002</v>
      </c>
      <c r="I22" s="269">
        <v>2.5767000000000002</v>
      </c>
      <c r="J22" s="269">
        <v>2.5102000000000002</v>
      </c>
      <c r="K22" s="269">
        <v>2.4563000000000001</v>
      </c>
      <c r="L22" s="269">
        <v>2.4117000000000002</v>
      </c>
      <c r="M22" s="269">
        <v>2.3420999999999998</v>
      </c>
      <c r="N22" s="269">
        <v>2.2686000000000002</v>
      </c>
      <c r="O22" s="269">
        <v>2.1905999999999999</v>
      </c>
      <c r="P22" s="269">
        <v>2.1497000000000002</v>
      </c>
      <c r="Q22" s="269">
        <v>2.1071</v>
      </c>
      <c r="R22" s="269">
        <v>2.0629</v>
      </c>
      <c r="S22" s="269">
        <v>2.0165999999999999</v>
      </c>
      <c r="T22" s="269">
        <v>1.9681</v>
      </c>
      <c r="U22" s="269">
        <v>1.9168000000000001</v>
      </c>
    </row>
    <row r="23" spans="2:21" ht="15.75" x14ac:dyDescent="0.25">
      <c r="B23" s="272">
        <v>19</v>
      </c>
      <c r="C23" s="269">
        <v>4.3807</v>
      </c>
      <c r="D23" s="269">
        <v>3.5219</v>
      </c>
      <c r="E23" s="269">
        <v>3.1274000000000002</v>
      </c>
      <c r="F23" s="269">
        <v>2.8950999999999998</v>
      </c>
      <c r="G23" s="269">
        <v>2.7401</v>
      </c>
      <c r="H23" s="269">
        <v>2.6282999999999999</v>
      </c>
      <c r="I23" s="269">
        <v>2.5434999999999999</v>
      </c>
      <c r="J23" s="269">
        <v>2.4767999999999999</v>
      </c>
      <c r="K23" s="269">
        <v>2.4226999999999999</v>
      </c>
      <c r="L23" s="269">
        <v>2.3778999999999999</v>
      </c>
      <c r="M23" s="269">
        <v>2.3079999999999998</v>
      </c>
      <c r="N23" s="269">
        <v>2.2341000000000002</v>
      </c>
      <c r="O23" s="269">
        <v>2.1555</v>
      </c>
      <c r="P23" s="269">
        <v>2.1141000000000001</v>
      </c>
      <c r="Q23" s="269">
        <v>2.0712000000000002</v>
      </c>
      <c r="R23" s="269">
        <v>2.0264000000000002</v>
      </c>
      <c r="S23" s="269">
        <v>1.9795</v>
      </c>
      <c r="T23" s="269">
        <v>1.9301999999999999</v>
      </c>
      <c r="U23" s="269">
        <v>1.8779999999999999</v>
      </c>
    </row>
    <row r="24" spans="2:21" ht="15.75" x14ac:dyDescent="0.25">
      <c r="B24" s="272">
        <v>20</v>
      </c>
      <c r="C24" s="269">
        <v>4.3512000000000004</v>
      </c>
      <c r="D24" s="269">
        <v>3.4927999999999999</v>
      </c>
      <c r="E24" s="269">
        <v>3.0983999999999998</v>
      </c>
      <c r="F24" s="269">
        <v>2.8660999999999999</v>
      </c>
      <c r="G24" s="269">
        <v>2.7109000000000001</v>
      </c>
      <c r="H24" s="269">
        <v>2.5990000000000002</v>
      </c>
      <c r="I24" s="269">
        <v>2.5139999999999998</v>
      </c>
      <c r="J24" s="269">
        <v>2.4470999999999998</v>
      </c>
      <c r="K24" s="269">
        <v>2.3927999999999998</v>
      </c>
      <c r="L24" s="269">
        <v>2.3479000000000001</v>
      </c>
      <c r="M24" s="269">
        <v>2.2776000000000001</v>
      </c>
      <c r="N24" s="269">
        <v>2.2033</v>
      </c>
      <c r="O24" s="269">
        <v>2.1242000000000001</v>
      </c>
      <c r="P24" s="269">
        <v>2.0825</v>
      </c>
      <c r="Q24" s="269">
        <v>2.0390999999999999</v>
      </c>
      <c r="R24" s="269">
        <v>1.9938</v>
      </c>
      <c r="S24" s="269">
        <v>1.9463999999999999</v>
      </c>
      <c r="T24" s="269">
        <v>1.8963000000000001</v>
      </c>
      <c r="U24" s="269">
        <v>1.8431999999999999</v>
      </c>
    </row>
    <row r="25" spans="2:21" ht="15.75" x14ac:dyDescent="0.25">
      <c r="B25" s="272">
        <v>21</v>
      </c>
      <c r="C25" s="269">
        <v>4.3247999999999998</v>
      </c>
      <c r="D25" s="269">
        <v>3.4668000000000001</v>
      </c>
      <c r="E25" s="269">
        <v>3.0724999999999998</v>
      </c>
      <c r="F25" s="269">
        <v>2.8401000000000001</v>
      </c>
      <c r="G25" s="269">
        <v>2.6848000000000001</v>
      </c>
      <c r="H25" s="269">
        <v>2.5727000000000002</v>
      </c>
      <c r="I25" s="269">
        <v>2.4876</v>
      </c>
      <c r="J25" s="269">
        <v>2.4205000000000001</v>
      </c>
      <c r="K25" s="269">
        <v>2.3660000000000001</v>
      </c>
      <c r="L25" s="269">
        <v>2.3210000000000002</v>
      </c>
      <c r="M25" s="269">
        <v>2.2504</v>
      </c>
      <c r="N25" s="269">
        <v>2.1757</v>
      </c>
      <c r="O25" s="269">
        <v>2.0960000000000001</v>
      </c>
      <c r="P25" s="269">
        <v>2.0539999999999998</v>
      </c>
      <c r="Q25" s="269">
        <v>2.0102000000000002</v>
      </c>
      <c r="R25" s="269">
        <v>1.9644999999999999</v>
      </c>
      <c r="S25" s="269">
        <v>1.9165000000000001</v>
      </c>
      <c r="T25" s="269">
        <v>1.8656999999999999</v>
      </c>
      <c r="U25" s="269">
        <v>1.8117000000000001</v>
      </c>
    </row>
    <row r="26" spans="2:21" ht="15.75" x14ac:dyDescent="0.25">
      <c r="B26" s="272">
        <v>22</v>
      </c>
      <c r="C26" s="269">
        <v>4.3009000000000004</v>
      </c>
      <c r="D26" s="269">
        <v>3.4434</v>
      </c>
      <c r="E26" s="269">
        <v>3.0491000000000001</v>
      </c>
      <c r="F26" s="269">
        <v>2.8167</v>
      </c>
      <c r="G26" s="269">
        <v>2.6613000000000002</v>
      </c>
      <c r="H26" s="269">
        <v>2.5491000000000001</v>
      </c>
      <c r="I26" s="269">
        <v>2.4638</v>
      </c>
      <c r="J26" s="269">
        <v>2.3965000000000001</v>
      </c>
      <c r="K26" s="269">
        <v>2.3418999999999999</v>
      </c>
      <c r="L26" s="269">
        <v>2.2967</v>
      </c>
      <c r="M26" s="269">
        <v>2.2258</v>
      </c>
      <c r="N26" s="269">
        <v>2.1507999999999998</v>
      </c>
      <c r="O26" s="269">
        <v>2.0707</v>
      </c>
      <c r="P26" s="269">
        <v>2.0283000000000002</v>
      </c>
      <c r="Q26" s="269">
        <v>1.9842</v>
      </c>
      <c r="R26" s="269">
        <v>1.9379999999999999</v>
      </c>
      <c r="S26" s="269">
        <v>1.8894</v>
      </c>
      <c r="T26" s="269">
        <v>1.8380000000000001</v>
      </c>
      <c r="U26" s="269">
        <v>1.7830999999999999</v>
      </c>
    </row>
    <row r="27" spans="2:21" ht="15.75" x14ac:dyDescent="0.25">
      <c r="B27" s="272">
        <v>23</v>
      </c>
      <c r="C27" s="269">
        <v>4.2793000000000001</v>
      </c>
      <c r="D27" s="269">
        <v>3.4220999999999999</v>
      </c>
      <c r="E27" s="269">
        <v>3.028</v>
      </c>
      <c r="F27" s="269">
        <v>2.7955000000000001</v>
      </c>
      <c r="G27" s="269">
        <v>2.64</v>
      </c>
      <c r="H27" s="269">
        <v>2.5276999999999998</v>
      </c>
      <c r="I27" s="269">
        <v>2.4422000000000001</v>
      </c>
      <c r="J27" s="269">
        <v>2.3748</v>
      </c>
      <c r="K27" s="269">
        <v>2.3201000000000001</v>
      </c>
      <c r="L27" s="269">
        <v>2.2747000000000002</v>
      </c>
      <c r="M27" s="269">
        <v>2.2035999999999998</v>
      </c>
      <c r="N27" s="269">
        <v>2.1282000000000001</v>
      </c>
      <c r="O27" s="269">
        <v>2.0476000000000001</v>
      </c>
      <c r="P27" s="269">
        <v>2.0049999999999999</v>
      </c>
      <c r="Q27" s="269">
        <v>1.9604999999999999</v>
      </c>
      <c r="R27" s="269">
        <v>1.9138999999999999</v>
      </c>
      <c r="S27" s="269">
        <v>1.8648</v>
      </c>
      <c r="T27" s="269">
        <v>1.8128</v>
      </c>
      <c r="U27" s="269">
        <v>1.7569999999999999</v>
      </c>
    </row>
    <row r="28" spans="2:21" ht="15.75" x14ac:dyDescent="0.25">
      <c r="B28" s="272">
        <v>24</v>
      </c>
      <c r="C28" s="269">
        <v>4.2596999999999996</v>
      </c>
      <c r="D28" s="269">
        <v>3.4028</v>
      </c>
      <c r="E28" s="269">
        <v>3.0087999999999999</v>
      </c>
      <c r="F28" s="269">
        <v>2.7763</v>
      </c>
      <c r="G28" s="269">
        <v>2.6206999999999998</v>
      </c>
      <c r="H28" s="269">
        <v>2.5082</v>
      </c>
      <c r="I28" s="269">
        <v>2.4226000000000001</v>
      </c>
      <c r="J28" s="269">
        <v>2.3551000000000002</v>
      </c>
      <c r="K28" s="269">
        <v>2.3001999999999998</v>
      </c>
      <c r="L28" s="269">
        <v>2.2547000000000001</v>
      </c>
      <c r="M28" s="269">
        <v>2.1833999999999998</v>
      </c>
      <c r="N28" s="269">
        <v>2.1076999999999999</v>
      </c>
      <c r="O28" s="269">
        <v>2.0266999999999999</v>
      </c>
      <c r="P28" s="269">
        <v>1.9838</v>
      </c>
      <c r="Q28" s="269">
        <v>1.9390000000000001</v>
      </c>
      <c r="R28" s="269">
        <v>1.8919999999999999</v>
      </c>
      <c r="S28" s="269">
        <v>1.8424</v>
      </c>
      <c r="T28" s="269">
        <v>1.7896000000000001</v>
      </c>
      <c r="U28" s="269">
        <v>1.7330000000000001</v>
      </c>
    </row>
    <row r="29" spans="2:21" ht="15.75" x14ac:dyDescent="0.25">
      <c r="B29" s="272">
        <v>25</v>
      </c>
      <c r="C29" s="269">
        <v>4.2416999999999998</v>
      </c>
      <c r="D29" s="269">
        <v>3.3852000000000002</v>
      </c>
      <c r="E29" s="269">
        <v>2.9912000000000001</v>
      </c>
      <c r="F29" s="269">
        <v>2.7587000000000002</v>
      </c>
      <c r="G29" s="269">
        <v>2.6030000000000002</v>
      </c>
      <c r="H29" s="269">
        <v>2.4904000000000002</v>
      </c>
      <c r="I29" s="269">
        <v>2.4047000000000001</v>
      </c>
      <c r="J29" s="269">
        <v>2.3371</v>
      </c>
      <c r="K29" s="269">
        <v>2.2820999999999998</v>
      </c>
      <c r="L29" s="269">
        <v>2.2364999999999999</v>
      </c>
      <c r="M29" s="269">
        <v>2.1648999999999998</v>
      </c>
      <c r="N29" s="269">
        <v>2.0889000000000002</v>
      </c>
      <c r="O29" s="269">
        <v>2.0074999999999998</v>
      </c>
      <c r="P29" s="269">
        <v>1.9642999999999999</v>
      </c>
      <c r="Q29" s="269">
        <v>1.9192</v>
      </c>
      <c r="R29" s="269">
        <v>1.8717999999999999</v>
      </c>
      <c r="S29" s="269">
        <v>1.8217000000000001</v>
      </c>
      <c r="T29" s="269">
        <v>1.7684</v>
      </c>
      <c r="U29" s="269">
        <v>1.7110000000000001</v>
      </c>
    </row>
    <row r="30" spans="2:21" ht="15.75" x14ac:dyDescent="0.25">
      <c r="B30" s="272">
        <v>26</v>
      </c>
      <c r="C30" s="269">
        <v>4.2252000000000001</v>
      </c>
      <c r="D30" s="269">
        <v>3.3690000000000002</v>
      </c>
      <c r="E30" s="269">
        <v>2.9752000000000001</v>
      </c>
      <c r="F30" s="269">
        <v>2.7425999999999999</v>
      </c>
      <c r="G30" s="269">
        <v>2.5868000000000002</v>
      </c>
      <c r="H30" s="269">
        <v>2.4741</v>
      </c>
      <c r="I30" s="269">
        <v>2.3883000000000001</v>
      </c>
      <c r="J30" s="269">
        <v>2.3205</v>
      </c>
      <c r="K30" s="269">
        <v>2.2654999999999998</v>
      </c>
      <c r="L30" s="269">
        <v>2.2197</v>
      </c>
      <c r="M30" s="269">
        <v>2.1478999999999999</v>
      </c>
      <c r="N30" s="269">
        <v>2.0716000000000001</v>
      </c>
      <c r="O30" s="269">
        <v>1.9898</v>
      </c>
      <c r="P30" s="269">
        <v>1.9463999999999999</v>
      </c>
      <c r="Q30" s="269">
        <v>1.901</v>
      </c>
      <c r="R30" s="269">
        <v>1.8532999999999999</v>
      </c>
      <c r="S30" s="269">
        <v>1.8027</v>
      </c>
      <c r="T30" s="269">
        <v>1.7487999999999999</v>
      </c>
      <c r="U30" s="269">
        <v>1.6906000000000001</v>
      </c>
    </row>
    <row r="31" spans="2:21" ht="15.75" x14ac:dyDescent="0.25">
      <c r="B31" s="272">
        <v>27</v>
      </c>
      <c r="C31" s="269">
        <v>4.21</v>
      </c>
      <c r="D31" s="269">
        <v>3.3540999999999999</v>
      </c>
      <c r="E31" s="269">
        <v>2.9603999999999999</v>
      </c>
      <c r="F31" s="269">
        <v>2.7277999999999998</v>
      </c>
      <c r="G31" s="269">
        <v>2.5718999999999999</v>
      </c>
      <c r="H31" s="269">
        <v>2.4590999999999998</v>
      </c>
      <c r="I31" s="269">
        <v>2.3732000000000002</v>
      </c>
      <c r="J31" s="269">
        <v>2.3052999999999999</v>
      </c>
      <c r="K31" s="269">
        <v>2.2501000000000002</v>
      </c>
      <c r="L31" s="269">
        <v>2.2042999999999999</v>
      </c>
      <c r="M31" s="269">
        <v>2.1322999999999999</v>
      </c>
      <c r="N31" s="269">
        <v>2.0558000000000001</v>
      </c>
      <c r="O31" s="269">
        <v>1.9736</v>
      </c>
      <c r="P31" s="269">
        <v>1.9298999999999999</v>
      </c>
      <c r="Q31" s="269">
        <v>1.8842000000000001</v>
      </c>
      <c r="R31" s="269">
        <v>1.8361000000000001</v>
      </c>
      <c r="S31" s="269">
        <v>1.7850999999999999</v>
      </c>
      <c r="T31" s="269">
        <v>1.7305999999999999</v>
      </c>
      <c r="U31" s="269">
        <v>1.6717</v>
      </c>
    </row>
    <row r="32" spans="2:21" ht="15.75" x14ac:dyDescent="0.25">
      <c r="B32" s="272">
        <v>28</v>
      </c>
      <c r="C32" s="269">
        <v>4.1959999999999997</v>
      </c>
      <c r="D32" s="269">
        <v>3.3403999999999998</v>
      </c>
      <c r="E32" s="269">
        <v>2.9466999999999999</v>
      </c>
      <c r="F32" s="269">
        <v>2.7141000000000002</v>
      </c>
      <c r="G32" s="269">
        <v>2.5581</v>
      </c>
      <c r="H32" s="269">
        <v>2.4453</v>
      </c>
      <c r="I32" s="269">
        <v>2.3593000000000002</v>
      </c>
      <c r="J32" s="269">
        <v>2.2913000000000001</v>
      </c>
      <c r="K32" s="269">
        <v>2.2360000000000002</v>
      </c>
      <c r="L32" s="269">
        <v>2.19</v>
      </c>
      <c r="M32" s="269">
        <v>2.1179000000000001</v>
      </c>
      <c r="N32" s="269">
        <v>2.0411000000000001</v>
      </c>
      <c r="O32" s="269">
        <v>1.9585999999999999</v>
      </c>
      <c r="P32" s="269">
        <v>1.9147000000000001</v>
      </c>
      <c r="Q32" s="269">
        <v>1.8687</v>
      </c>
      <c r="R32" s="269">
        <v>1.8203</v>
      </c>
      <c r="S32" s="269">
        <v>1.7688999999999999</v>
      </c>
      <c r="T32" s="269">
        <v>1.7138</v>
      </c>
      <c r="U32" s="269">
        <v>1.6540999999999999</v>
      </c>
    </row>
    <row r="33" spans="2:21" ht="15.75" x14ac:dyDescent="0.25">
      <c r="B33" s="272">
        <v>29</v>
      </c>
      <c r="C33" s="269">
        <v>4.1829999999999998</v>
      </c>
      <c r="D33" s="269">
        <v>3.3277000000000001</v>
      </c>
      <c r="E33" s="269">
        <v>2.9340000000000002</v>
      </c>
      <c r="F33" s="269">
        <v>2.7014</v>
      </c>
      <c r="G33" s="269">
        <v>2.5453999999999999</v>
      </c>
      <c r="H33" s="269">
        <v>2.4323999999999999</v>
      </c>
      <c r="I33" s="269">
        <v>2.3462999999999998</v>
      </c>
      <c r="J33" s="269">
        <v>2.2783000000000002</v>
      </c>
      <c r="K33" s="269">
        <v>2.2229000000000001</v>
      </c>
      <c r="L33" s="269">
        <v>2.1768000000000001</v>
      </c>
      <c r="M33" s="269">
        <v>2.1044999999999998</v>
      </c>
      <c r="N33" s="269">
        <v>2.0274999999999999</v>
      </c>
      <c r="O33" s="269">
        <v>1.9446000000000001</v>
      </c>
      <c r="P33" s="269">
        <v>1.9005000000000001</v>
      </c>
      <c r="Q33" s="269">
        <v>1.8543000000000001</v>
      </c>
      <c r="R33" s="269">
        <v>1.8055000000000001</v>
      </c>
      <c r="S33" s="269">
        <v>1.7537</v>
      </c>
      <c r="T33" s="269">
        <v>1.6980999999999999</v>
      </c>
      <c r="U33" s="269">
        <v>1.6375999999999999</v>
      </c>
    </row>
    <row r="34" spans="2:21" ht="15.75" x14ac:dyDescent="0.25">
      <c r="B34" s="272">
        <v>30</v>
      </c>
      <c r="C34" s="269">
        <v>4.1708999999999996</v>
      </c>
      <c r="D34" s="269">
        <v>3.3157999999999999</v>
      </c>
      <c r="E34" s="269">
        <v>2.9222999999999999</v>
      </c>
      <c r="F34" s="269">
        <v>2.6896</v>
      </c>
      <c r="G34" s="269">
        <v>2.5335999999999999</v>
      </c>
      <c r="H34" s="269">
        <v>2.4205000000000001</v>
      </c>
      <c r="I34" s="269">
        <v>2.3342999999999998</v>
      </c>
      <c r="J34" s="269">
        <v>2.2662</v>
      </c>
      <c r="K34" s="269">
        <v>2.2107000000000001</v>
      </c>
      <c r="L34" s="269">
        <v>2.1646000000000001</v>
      </c>
      <c r="M34" s="269">
        <v>2.0920999999999998</v>
      </c>
      <c r="N34" s="269">
        <v>2.0148000000000001</v>
      </c>
      <c r="O34" s="269">
        <v>1.9317</v>
      </c>
      <c r="P34" s="269">
        <v>1.8874</v>
      </c>
      <c r="Q34" s="269">
        <v>1.8409</v>
      </c>
      <c r="R34" s="269">
        <v>1.7918000000000001</v>
      </c>
      <c r="S34" s="269">
        <v>1.7396</v>
      </c>
      <c r="T34" s="269">
        <v>1.6835</v>
      </c>
      <c r="U34" s="269">
        <v>1.6223000000000001</v>
      </c>
    </row>
    <row r="35" spans="2:21" ht="15.75" x14ac:dyDescent="0.25">
      <c r="B35" s="272">
        <v>40</v>
      </c>
      <c r="C35" s="269">
        <v>4.0846999999999998</v>
      </c>
      <c r="D35" s="269">
        <v>3.2317</v>
      </c>
      <c r="E35" s="269">
        <v>2.8386999999999998</v>
      </c>
      <c r="F35" s="269">
        <v>2.6059999999999999</v>
      </c>
      <c r="G35" s="269">
        <v>2.4495</v>
      </c>
      <c r="H35" s="269">
        <v>2.3359000000000001</v>
      </c>
      <c r="I35" s="269">
        <v>2.2490000000000001</v>
      </c>
      <c r="J35" s="269">
        <v>2.1802000000000001</v>
      </c>
      <c r="K35" s="269">
        <v>2.1240000000000001</v>
      </c>
      <c r="L35" s="269">
        <v>2.0771999999999999</v>
      </c>
      <c r="M35" s="269">
        <v>2.0034999999999998</v>
      </c>
      <c r="N35" s="269">
        <v>1.9245000000000001</v>
      </c>
      <c r="O35" s="269">
        <v>1.8389</v>
      </c>
      <c r="P35" s="269">
        <v>1.7928999999999999</v>
      </c>
      <c r="Q35" s="269">
        <v>1.7444</v>
      </c>
      <c r="R35" s="269">
        <v>1.6928000000000001</v>
      </c>
      <c r="S35" s="269">
        <v>1.6373</v>
      </c>
      <c r="T35" s="269">
        <v>1.5766</v>
      </c>
      <c r="U35" s="269">
        <v>1.5088999999999999</v>
      </c>
    </row>
    <row r="36" spans="2:21" ht="15.75" x14ac:dyDescent="0.25">
      <c r="B36" s="272">
        <v>60</v>
      </c>
      <c r="C36" s="269">
        <v>4.0011999999999999</v>
      </c>
      <c r="D36" s="269">
        <v>3.1503999999999999</v>
      </c>
      <c r="E36" s="269">
        <v>2.7581000000000002</v>
      </c>
      <c r="F36" s="269">
        <v>2.5251999999999999</v>
      </c>
      <c r="G36" s="269">
        <v>2.3683000000000001</v>
      </c>
      <c r="H36" s="269">
        <v>2.2541000000000002</v>
      </c>
      <c r="I36" s="269">
        <v>2.1665000000000001</v>
      </c>
      <c r="J36" s="269">
        <v>2.097</v>
      </c>
      <c r="K36" s="269">
        <v>2.0400999999999998</v>
      </c>
      <c r="L36" s="269">
        <v>1.9925999999999999</v>
      </c>
      <c r="M36" s="269">
        <v>1.9174</v>
      </c>
      <c r="N36" s="269">
        <v>1.8364</v>
      </c>
      <c r="O36" s="269">
        <v>1.748</v>
      </c>
      <c r="P36" s="269">
        <v>1.7000999999999999</v>
      </c>
      <c r="Q36" s="269">
        <v>1.6491</v>
      </c>
      <c r="R36" s="269">
        <v>1.5943000000000001</v>
      </c>
      <c r="S36" s="269">
        <v>1.5343</v>
      </c>
      <c r="T36" s="269">
        <v>1.4673</v>
      </c>
      <c r="U36" s="269">
        <v>1.3893</v>
      </c>
    </row>
    <row r="37" spans="2:21" ht="15.75" x14ac:dyDescent="0.25">
      <c r="B37" s="272">
        <v>120</v>
      </c>
      <c r="C37" s="269">
        <v>3.9201000000000001</v>
      </c>
      <c r="D37" s="269">
        <v>3.0718000000000001</v>
      </c>
      <c r="E37" s="269">
        <v>2.6802000000000001</v>
      </c>
      <c r="F37" s="269">
        <v>2.4472</v>
      </c>
      <c r="G37" s="269">
        <v>2.2898999999999998</v>
      </c>
      <c r="H37" s="269">
        <v>2.1749999999999998</v>
      </c>
      <c r="I37" s="269">
        <v>2.0868000000000002</v>
      </c>
      <c r="J37" s="269">
        <v>2.0164</v>
      </c>
      <c r="K37" s="269">
        <v>1.9588000000000001</v>
      </c>
      <c r="L37" s="269">
        <v>1.9105000000000001</v>
      </c>
      <c r="M37" s="269">
        <v>1.8337000000000001</v>
      </c>
      <c r="N37" s="269">
        <v>1.7504999999999999</v>
      </c>
      <c r="O37" s="269">
        <v>1.6587000000000001</v>
      </c>
      <c r="P37" s="269">
        <v>1.6084000000000001</v>
      </c>
      <c r="Q37" s="269">
        <v>1.5543</v>
      </c>
      <c r="R37" s="269">
        <v>1.4952000000000001</v>
      </c>
      <c r="S37" s="269">
        <v>1.429</v>
      </c>
      <c r="T37" s="269">
        <v>1.3519000000000001</v>
      </c>
      <c r="U37" s="269">
        <v>1.2539</v>
      </c>
    </row>
    <row r="38" spans="2:21" ht="15.75" x14ac:dyDescent="0.25">
      <c r="B38" s="272" t="s">
        <v>250</v>
      </c>
      <c r="C38" s="269">
        <v>3.8414999999999999</v>
      </c>
      <c r="D38" s="269">
        <v>2.9956999999999998</v>
      </c>
      <c r="E38" s="269">
        <v>2.6049000000000002</v>
      </c>
      <c r="F38" s="269">
        <v>2.3719000000000001</v>
      </c>
      <c r="G38" s="269">
        <v>2.2141000000000002</v>
      </c>
      <c r="H38" s="269">
        <v>2.0985999999999998</v>
      </c>
      <c r="I38" s="269">
        <v>2.0095999999999998</v>
      </c>
      <c r="J38" s="269">
        <v>1.9383999999999999</v>
      </c>
      <c r="K38" s="269">
        <v>1.8798999999999999</v>
      </c>
      <c r="L38" s="269">
        <v>1.8307</v>
      </c>
      <c r="M38" s="269">
        <v>1.7522</v>
      </c>
      <c r="N38" s="269">
        <v>1.6664000000000001</v>
      </c>
      <c r="O38" s="269">
        <v>1.5705</v>
      </c>
      <c r="P38" s="269">
        <v>1.5173000000000001</v>
      </c>
      <c r="Q38" s="269">
        <v>1.4591000000000001</v>
      </c>
      <c r="R38" s="269">
        <v>1.3939999999999999</v>
      </c>
      <c r="S38" s="269">
        <v>1.3180000000000001</v>
      </c>
      <c r="T38" s="269">
        <v>1.2214</v>
      </c>
      <c r="U38" s="269">
        <v>1</v>
      </c>
    </row>
    <row r="40" spans="2:21" s="30" customFormat="1" ht="18.75" x14ac:dyDescent="0.3">
      <c r="B40" s="30" t="s">
        <v>330</v>
      </c>
    </row>
    <row r="41" spans="2:21" s="30" customFormat="1" ht="18.75" x14ac:dyDescent="0.3">
      <c r="C41" s="30" t="s">
        <v>331</v>
      </c>
    </row>
    <row r="42" spans="2:21" ht="18.75" x14ac:dyDescent="0.3">
      <c r="C42" s="30" t="s">
        <v>332</v>
      </c>
    </row>
  </sheetData>
  <mergeCells count="1">
    <mergeCell ref="C1:W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24885-E52F-4195-8F53-D416177F4CEF}">
  <sheetPr>
    <tabColor rgb="FFFF6699"/>
  </sheetPr>
  <dimension ref="C1:M13"/>
  <sheetViews>
    <sheetView workbookViewId="0">
      <pane ySplit="4" topLeftCell="A5" activePane="bottomLeft" state="frozen"/>
      <selection pane="bottomLeft" activeCell="Y42" sqref="Y42"/>
    </sheetView>
  </sheetViews>
  <sheetFormatPr defaultRowHeight="15" x14ac:dyDescent="0.25"/>
  <cols>
    <col min="3" max="9" width="15.5703125" customWidth="1"/>
  </cols>
  <sheetData>
    <row r="1" spans="3:13" s="145" customFormat="1" ht="15.75" x14ac:dyDescent="0.25">
      <c r="C1" s="633" t="s">
        <v>245</v>
      </c>
      <c r="D1" s="633"/>
      <c r="E1" s="633"/>
      <c r="F1" s="633"/>
      <c r="G1" s="633"/>
      <c r="H1" s="633"/>
      <c r="I1" s="633"/>
      <c r="J1" s="240"/>
      <c r="K1" s="240"/>
      <c r="L1" s="240"/>
      <c r="M1" s="240"/>
    </row>
    <row r="2" spans="3:13" ht="21" x14ac:dyDescent="0.35">
      <c r="C2" s="9"/>
      <c r="D2" s="9"/>
      <c r="E2" s="9"/>
      <c r="F2" s="44" t="s">
        <v>206</v>
      </c>
      <c r="G2" s="44"/>
      <c r="H2" s="44"/>
      <c r="I2" s="44"/>
    </row>
    <row r="3" spans="3:13" ht="21" x14ac:dyDescent="0.35">
      <c r="C3" s="9"/>
      <c r="D3" s="9"/>
      <c r="E3" s="9"/>
      <c r="F3" s="192" t="s">
        <v>207</v>
      </c>
      <c r="G3" s="193" t="s">
        <v>208</v>
      </c>
      <c r="H3" s="192" t="s">
        <v>209</v>
      </c>
      <c r="I3" s="192" t="s">
        <v>210</v>
      </c>
    </row>
    <row r="4" spans="3:13" ht="21" x14ac:dyDescent="0.35">
      <c r="C4" s="194" t="s">
        <v>211</v>
      </c>
      <c r="D4" s="195" t="s">
        <v>212</v>
      </c>
      <c r="E4" s="214" t="s">
        <v>213</v>
      </c>
      <c r="F4" s="196" t="s">
        <v>214</v>
      </c>
      <c r="G4" s="196" t="s">
        <v>215</v>
      </c>
      <c r="H4" s="196" t="s">
        <v>216</v>
      </c>
      <c r="I4" s="196" t="s">
        <v>217</v>
      </c>
    </row>
    <row r="5" spans="3:13" ht="21" x14ac:dyDescent="0.35">
      <c r="C5" s="197">
        <v>0.999</v>
      </c>
      <c r="D5" s="197">
        <v>0.99</v>
      </c>
      <c r="E5" s="198">
        <v>1E-3</v>
      </c>
      <c r="F5" s="199">
        <f xml:space="preserve"> (G5 * H5) / I5</f>
        <v>9.0909090909090842E-2</v>
      </c>
      <c r="G5" s="19">
        <f>C5</f>
        <v>0.999</v>
      </c>
      <c r="H5" s="19">
        <f>E5</f>
        <v>1E-3</v>
      </c>
      <c r="I5" s="19">
        <f xml:space="preserve"> (C5 * E5) + (1 - D5)*(1 - E5)</f>
        <v>1.0989000000000009E-2</v>
      </c>
    </row>
    <row r="6" spans="3:13" ht="21" x14ac:dyDescent="0.35">
      <c r="C6" s="200">
        <v>0.999</v>
      </c>
      <c r="D6" s="200">
        <v>0.99</v>
      </c>
      <c r="E6" s="200">
        <v>5.0000000000000001E-3</v>
      </c>
      <c r="F6" s="199">
        <f xml:space="preserve"> (G6 * H6) / I6</f>
        <v>0.33422549347607877</v>
      </c>
      <c r="G6" s="19">
        <f>C6</f>
        <v>0.999</v>
      </c>
      <c r="H6" s="19">
        <f>E6</f>
        <v>5.0000000000000001E-3</v>
      </c>
      <c r="I6" s="19">
        <f xml:space="preserve"> (C6 * E6) + (1 - D6)*(1 - E6)</f>
        <v>1.494500000000001E-2</v>
      </c>
    </row>
    <row r="7" spans="3:13" ht="21" x14ac:dyDescent="0.35">
      <c r="C7" s="198">
        <v>1</v>
      </c>
      <c r="D7" s="197">
        <v>0.99</v>
      </c>
      <c r="E7" s="197">
        <v>5.0000000000000001E-3</v>
      </c>
      <c r="F7" s="199">
        <f t="shared" ref="F7:F13" si="0" xml:space="preserve"> (G7 * H7) / I7</f>
        <v>0.33444816053511689</v>
      </c>
      <c r="G7" s="19">
        <f t="shared" ref="G7:G13" si="1">C7</f>
        <v>1</v>
      </c>
      <c r="H7" s="19">
        <f t="shared" ref="H7:H13" si="2">E7</f>
        <v>5.0000000000000001E-3</v>
      </c>
      <c r="I7" s="19">
        <f t="shared" ref="I7:I13" si="3" xml:space="preserve"> (C7 * E7) + (1 - D7)*(1 - E7)</f>
        <v>1.4950000000000008E-2</v>
      </c>
    </row>
    <row r="8" spans="3:13" ht="21" x14ac:dyDescent="0.35">
      <c r="C8" s="197">
        <v>0.999</v>
      </c>
      <c r="D8" s="198">
        <v>0.995</v>
      </c>
      <c r="E8" s="197">
        <v>5.0000000000000001E-3</v>
      </c>
      <c r="F8" s="199">
        <f t="shared" si="0"/>
        <v>0.50100300902708106</v>
      </c>
      <c r="G8" s="19">
        <f t="shared" si="1"/>
        <v>0.999</v>
      </c>
      <c r="H8" s="19">
        <f t="shared" si="2"/>
        <v>5.0000000000000001E-3</v>
      </c>
      <c r="I8" s="19">
        <f t="shared" si="3"/>
        <v>9.9700000000000049E-3</v>
      </c>
    </row>
    <row r="9" spans="3:13" ht="21" x14ac:dyDescent="0.35">
      <c r="C9" s="197">
        <v>0.999</v>
      </c>
      <c r="D9" s="198">
        <v>0.999</v>
      </c>
      <c r="E9" s="197">
        <v>5.0000000000000001E-3</v>
      </c>
      <c r="F9" s="199">
        <f t="shared" si="0"/>
        <v>0.83388981636060089</v>
      </c>
      <c r="G9" s="19">
        <f t="shared" si="1"/>
        <v>0.999</v>
      </c>
      <c r="H9" s="19">
        <f t="shared" si="2"/>
        <v>5.0000000000000001E-3</v>
      </c>
      <c r="I9" s="19">
        <f t="shared" si="3"/>
        <v>5.9900000000000014E-3</v>
      </c>
    </row>
    <row r="10" spans="3:13" ht="21" x14ac:dyDescent="0.35">
      <c r="C10" s="197">
        <v>0.999</v>
      </c>
      <c r="D10" s="197">
        <v>0.99</v>
      </c>
      <c r="E10" s="198">
        <v>0.01</v>
      </c>
      <c r="F10" s="199">
        <f t="shared" si="0"/>
        <v>0.5022624434389138</v>
      </c>
      <c r="G10" s="19">
        <f t="shared" si="1"/>
        <v>0.999</v>
      </c>
      <c r="H10" s="19">
        <f t="shared" si="2"/>
        <v>0.01</v>
      </c>
      <c r="I10" s="19">
        <f t="shared" si="3"/>
        <v>1.9890000000000012E-2</v>
      </c>
    </row>
    <row r="11" spans="3:13" ht="21" x14ac:dyDescent="0.35">
      <c r="C11" s="197">
        <v>0.999</v>
      </c>
      <c r="D11" s="197">
        <v>0.99</v>
      </c>
      <c r="E11" s="198">
        <v>0.1</v>
      </c>
      <c r="F11" s="199">
        <f t="shared" si="0"/>
        <v>0.91735537190082639</v>
      </c>
      <c r="G11" s="19">
        <f t="shared" si="1"/>
        <v>0.999</v>
      </c>
      <c r="H11" s="19">
        <f t="shared" si="2"/>
        <v>0.1</v>
      </c>
      <c r="I11" s="19">
        <f t="shared" si="3"/>
        <v>0.10890000000000001</v>
      </c>
    </row>
    <row r="12" spans="3:13" ht="21" x14ac:dyDescent="0.35">
      <c r="C12" s="197">
        <v>0.999</v>
      </c>
      <c r="D12" s="198">
        <v>0.995</v>
      </c>
      <c r="E12" s="198">
        <v>0.1</v>
      </c>
      <c r="F12" s="199">
        <f t="shared" si="0"/>
        <v>0.9568965517241379</v>
      </c>
      <c r="G12" s="19">
        <f t="shared" si="1"/>
        <v>0.999</v>
      </c>
      <c r="H12" s="19">
        <f t="shared" si="2"/>
        <v>0.1</v>
      </c>
      <c r="I12" s="19">
        <f t="shared" si="3"/>
        <v>0.10440000000000001</v>
      </c>
    </row>
    <row r="13" spans="3:13" ht="21" x14ac:dyDescent="0.35">
      <c r="C13" s="197">
        <v>0.99</v>
      </c>
      <c r="D13" s="198">
        <v>0.9</v>
      </c>
      <c r="E13" s="198">
        <v>0.1</v>
      </c>
      <c r="F13" s="199">
        <f t="shared" si="0"/>
        <v>0.52380952380952384</v>
      </c>
      <c r="G13" s="19">
        <f t="shared" si="1"/>
        <v>0.99</v>
      </c>
      <c r="H13" s="19">
        <f t="shared" si="2"/>
        <v>0.1</v>
      </c>
      <c r="I13" s="19">
        <f t="shared" si="3"/>
        <v>0.189</v>
      </c>
    </row>
  </sheetData>
  <mergeCells count="1">
    <mergeCell ref="C1:I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7900-6DD4-49D5-8FAF-311E65CFBDCB}">
  <sheetPr>
    <tabColor rgb="FFFFFF00"/>
  </sheetPr>
  <dimension ref="B1:AX68"/>
  <sheetViews>
    <sheetView workbookViewId="0">
      <pane ySplit="4" topLeftCell="A5" activePane="bottomLeft" state="frozen"/>
      <selection pane="bottomLeft" activeCell="C5" sqref="C5:D14"/>
    </sheetView>
  </sheetViews>
  <sheetFormatPr defaultRowHeight="15" x14ac:dyDescent="0.25"/>
  <cols>
    <col min="1" max="1" width="2.7109375" customWidth="1"/>
    <col min="3" max="6" width="10.5703125" customWidth="1"/>
    <col min="7" max="7" width="10.7109375" bestFit="1" customWidth="1"/>
    <col min="12" max="12" width="9.5703125" bestFit="1" customWidth="1"/>
    <col min="43" max="43" width="10.7109375" bestFit="1" customWidth="1"/>
    <col min="49" max="49" width="10.7109375" bestFit="1" customWidth="1"/>
  </cols>
  <sheetData>
    <row r="1" spans="2:50" s="145" customFormat="1" ht="18.75" x14ac:dyDescent="0.3">
      <c r="B1" s="246" t="s">
        <v>245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8"/>
      <c r="W1" s="248"/>
      <c r="X1" s="248"/>
      <c r="AL1" s="30"/>
      <c r="AM1" s="30"/>
      <c r="AN1" s="30"/>
      <c r="AO1" s="30"/>
      <c r="AS1" s="30"/>
      <c r="AT1" s="30"/>
      <c r="AU1" s="30"/>
      <c r="AX1" s="30"/>
    </row>
    <row r="2" spans="2:50" s="3" customFormat="1" ht="21" x14ac:dyDescent="0.35">
      <c r="B2" s="584" t="s">
        <v>141</v>
      </c>
      <c r="C2" s="584"/>
      <c r="D2" s="584"/>
      <c r="E2" s="584"/>
      <c r="F2" s="584"/>
      <c r="G2" s="584"/>
      <c r="I2" s="592" t="s">
        <v>537</v>
      </c>
      <c r="J2" s="592"/>
      <c r="K2" s="592"/>
      <c r="L2" s="592"/>
      <c r="M2" s="592"/>
      <c r="N2" s="592"/>
      <c r="O2" s="592"/>
      <c r="P2" s="592"/>
      <c r="AL2" s="30"/>
      <c r="AM2" s="30"/>
      <c r="AN2" s="30"/>
      <c r="AO2" s="30"/>
      <c r="AS2" s="30"/>
      <c r="AT2" s="30"/>
      <c r="AU2" s="30"/>
      <c r="AX2" s="30"/>
    </row>
    <row r="3" spans="2:50" s="3" customFormat="1" ht="21.75" thickBot="1" x14ac:dyDescent="0.4">
      <c r="C3" s="107" t="s">
        <v>197</v>
      </c>
      <c r="D3" s="107" t="s">
        <v>198</v>
      </c>
      <c r="I3" s="30"/>
      <c r="J3" s="30"/>
      <c r="K3" s="522" t="str">
        <f t="shared" ref="K3" si="0">IF(J3&gt;0,I3+J3," ")</f>
        <v xml:space="preserve"> </v>
      </c>
      <c r="L3" s="252" t="str">
        <f t="shared" ref="L3" si="1">IF(J3&gt;0,(I3 * LN(I3/J3))," ")</f>
        <v xml:space="preserve"> </v>
      </c>
      <c r="M3" s="252" t="str">
        <f t="shared" ref="M3" si="2">IF(J3&gt;0,I3*LN(I3)," ")</f>
        <v xml:space="preserve"> </v>
      </c>
      <c r="N3" s="252" t="str">
        <f t="shared" ref="N3" si="3">IF(J3&gt;0,J3*LN(J3)," ")</f>
        <v xml:space="preserve"> </v>
      </c>
      <c r="O3" s="252" t="str">
        <f t="shared" ref="O3" si="4">IF(J3&gt;0,K3*LN(K3)," ")</f>
        <v xml:space="preserve"> </v>
      </c>
      <c r="P3" s="252" t="str">
        <f t="shared" ref="P3" si="5">IF(J3&gt;0,1/K3," ")</f>
        <v xml:space="preserve"> </v>
      </c>
      <c r="AS3" s="30"/>
      <c r="AT3" s="30"/>
      <c r="AU3" s="30"/>
      <c r="AX3" s="30"/>
    </row>
    <row r="4" spans="2:50" s="30" customFormat="1" ht="21.75" thickBot="1" x14ac:dyDescent="0.4">
      <c r="C4" s="81" t="s">
        <v>0</v>
      </c>
      <c r="D4" s="82" t="s">
        <v>1</v>
      </c>
      <c r="E4" s="7" t="s">
        <v>273</v>
      </c>
      <c r="F4" s="314" t="s">
        <v>274</v>
      </c>
      <c r="G4" s="547"/>
      <c r="I4" s="5" t="s">
        <v>30</v>
      </c>
      <c r="J4" s="40" t="s">
        <v>31</v>
      </c>
      <c r="K4" s="164" t="s">
        <v>27</v>
      </c>
      <c r="L4" s="165" t="s">
        <v>21</v>
      </c>
      <c r="M4" s="165" t="s">
        <v>59</v>
      </c>
      <c r="N4" s="165" t="s">
        <v>60</v>
      </c>
      <c r="O4" s="166" t="s">
        <v>26</v>
      </c>
      <c r="P4" s="167" t="s">
        <v>28</v>
      </c>
      <c r="T4" s="81" t="s">
        <v>0</v>
      </c>
      <c r="U4" s="82" t="s">
        <v>1</v>
      </c>
      <c r="W4" s="81" t="s">
        <v>0</v>
      </c>
      <c r="X4" s="82" t="s">
        <v>1</v>
      </c>
      <c r="Z4" s="81" t="s">
        <v>0</v>
      </c>
      <c r="AA4" s="82" t="s">
        <v>1</v>
      </c>
      <c r="AC4" s="81" t="s">
        <v>0</v>
      </c>
      <c r="AD4" s="82" t="s">
        <v>1</v>
      </c>
      <c r="AI4" s="81" t="s">
        <v>0</v>
      </c>
      <c r="AJ4" s="82" t="s">
        <v>1</v>
      </c>
      <c r="AL4" s="587" t="s">
        <v>392</v>
      </c>
      <c r="AM4" s="588"/>
      <c r="AN4" s="588"/>
      <c r="AO4" s="589"/>
      <c r="AQ4" s="25">
        <v>100</v>
      </c>
      <c r="AR4" s="25">
        <v>105</v>
      </c>
      <c r="AS4" s="25">
        <v>110</v>
      </c>
      <c r="AT4" s="25">
        <v>115</v>
      </c>
      <c r="AU4" s="25">
        <v>120</v>
      </c>
      <c r="AW4" s="25">
        <v>100</v>
      </c>
      <c r="AX4" s="25">
        <v>120</v>
      </c>
    </row>
    <row r="5" spans="2:50" s="30" customFormat="1" ht="18.75" x14ac:dyDescent="0.3">
      <c r="C5" s="30">
        <v>100</v>
      </c>
      <c r="D5" s="30">
        <v>111</v>
      </c>
      <c r="E5" s="30">
        <f>IF(D5&gt;0,C5 - D5," ")</f>
        <v>-11</v>
      </c>
      <c r="F5" s="31">
        <f>IF(D5&gt;0,(E5^2/D5)," ")</f>
        <v>1.0900900900900901</v>
      </c>
      <c r="G5" s="275"/>
      <c r="I5" s="30">
        <v>100</v>
      </c>
      <c r="J5" s="30">
        <v>111</v>
      </c>
      <c r="K5" s="215">
        <f>IF(J5&gt;0,I5+J5," ")</f>
        <v>211</v>
      </c>
      <c r="L5" s="252">
        <f>IF(J5&gt;0,(I5 * LN(I5/J5))," ")</f>
        <v>-10.436001532424276</v>
      </c>
      <c r="M5" s="252">
        <f>IF(J5&gt;0,I5*LN(I5)," ")</f>
        <v>460.51701859880916</v>
      </c>
      <c r="N5" s="252">
        <f>IF(J5&gt;0,J5*LN(J5)," ")</f>
        <v>522.75785234566911</v>
      </c>
      <c r="O5" s="252">
        <f>IF(J5&gt;0,K5*LN(K5)," ")</f>
        <v>1129.2420661634501</v>
      </c>
      <c r="P5" s="252">
        <f>IF(J5&gt;0,1/K5," ")</f>
        <v>4.7393364928909956E-3</v>
      </c>
      <c r="T5" s="169">
        <v>7.1</v>
      </c>
      <c r="U5" s="170">
        <v>8.8000000000000007</v>
      </c>
      <c r="W5" s="171">
        <v>9.1</v>
      </c>
      <c r="X5" s="170">
        <v>8.8000000000000007</v>
      </c>
      <c r="Z5" s="171">
        <v>7.2</v>
      </c>
      <c r="AA5" s="170">
        <v>8.8000000000000007</v>
      </c>
      <c r="AC5" s="171">
        <v>7.3</v>
      </c>
      <c r="AD5" s="170">
        <v>8.8000000000000007</v>
      </c>
      <c r="AF5" s="30">
        <v>102</v>
      </c>
      <c r="AG5" s="30">
        <v>110</v>
      </c>
      <c r="AI5" s="169">
        <v>7.2</v>
      </c>
      <c r="AJ5" s="170">
        <v>8.8000000000000007</v>
      </c>
      <c r="AL5" s="292">
        <v>29</v>
      </c>
      <c r="AM5" s="292">
        <v>11</v>
      </c>
      <c r="AN5" s="30">
        <f>SUM(AL5:AM5)</f>
        <v>40</v>
      </c>
      <c r="AO5" s="31">
        <f>AL5/AN5</f>
        <v>0.72499999999999998</v>
      </c>
      <c r="AQ5" s="292">
        <f ca="1">RANDBETWEEN(95,105)</f>
        <v>103</v>
      </c>
      <c r="AR5" s="456">
        <f t="shared" ref="AR5:AR10" ca="1" si="6">RANDBETWEEN(100,110)</f>
        <v>101</v>
      </c>
      <c r="AS5" s="414">
        <f ca="1">RANDBETWEEN(105,115)</f>
        <v>112</v>
      </c>
      <c r="AT5" s="528">
        <f ca="1">RANDBETWEEN(110,120)</f>
        <v>112</v>
      </c>
      <c r="AU5" s="548">
        <f ca="1">RANDBETWEEN(115,125)</f>
        <v>117</v>
      </c>
      <c r="AV5" s="31"/>
      <c r="AW5" s="292">
        <f ca="1">RANDBETWEEN(95,105)</f>
        <v>105</v>
      </c>
      <c r="AX5" s="548">
        <f ca="1">RANDBETWEEN(115,125)</f>
        <v>116</v>
      </c>
    </row>
    <row r="6" spans="2:50" s="30" customFormat="1" ht="18.75" x14ac:dyDescent="0.3">
      <c r="C6" s="30">
        <v>103</v>
      </c>
      <c r="D6" s="30">
        <v>120</v>
      </c>
      <c r="E6" s="30">
        <f>IF(D6&gt;0,C6 - D6," ")</f>
        <v>-17</v>
      </c>
      <c r="F6" s="31">
        <f t="shared" ref="F6:F7" si="7">IF(D6&gt;0,(E6^2/D6)," ")</f>
        <v>2.4083333333333332</v>
      </c>
      <c r="G6" s="275"/>
      <c r="I6" s="30">
        <v>103</v>
      </c>
      <c r="J6" s="30">
        <v>120</v>
      </c>
      <c r="K6" s="215">
        <f t="shared" ref="K6:K44" si="8">IF(J6&gt;0,I6+J6," ")</f>
        <v>223</v>
      </c>
      <c r="L6" s="252">
        <f t="shared" ref="L6:L44" si="9">IF(J6&gt;0,(I6 * LN(I6/J6))," ")</f>
        <v>-15.73456371889826</v>
      </c>
      <c r="M6" s="252">
        <f t="shared" ref="M6:M44" si="10">IF(J6&gt;0,I6*LN(I6)," ")</f>
        <v>477.3770857876525</v>
      </c>
      <c r="N6" s="252">
        <f t="shared" ref="N6:N44" si="11">IF(J6&gt;0,J6*LN(J6)," ")</f>
        <v>574.49900913384545</v>
      </c>
      <c r="O6" s="252">
        <f t="shared" ref="O6:O44" si="12">IF(J6&gt;0,K6*LN(K6)," ")</f>
        <v>1205.7993050356065</v>
      </c>
      <c r="P6" s="252">
        <f t="shared" ref="P6:P44" si="13">IF(J6&gt;0,1/K6," ")</f>
        <v>4.4843049327354259E-3</v>
      </c>
      <c r="T6" s="171">
        <v>9.1</v>
      </c>
      <c r="U6" s="172">
        <v>7.5</v>
      </c>
      <c r="W6" s="171">
        <v>7.2</v>
      </c>
      <c r="X6" s="172">
        <v>7.5</v>
      </c>
      <c r="Z6" s="171">
        <v>7.3</v>
      </c>
      <c r="AA6" s="172">
        <v>7.5</v>
      </c>
      <c r="AC6" s="171">
        <v>7.2</v>
      </c>
      <c r="AD6" s="172">
        <v>7.5</v>
      </c>
      <c r="AF6" s="30">
        <v>95</v>
      </c>
      <c r="AG6" s="30">
        <v>120</v>
      </c>
      <c r="AI6" s="171">
        <v>7.1</v>
      </c>
      <c r="AJ6" s="172">
        <v>7.5</v>
      </c>
      <c r="AL6" s="292">
        <v>273</v>
      </c>
      <c r="AM6" s="292">
        <v>191</v>
      </c>
      <c r="AN6" s="30">
        <f>SUM(AL6:AM6)</f>
        <v>464</v>
      </c>
      <c r="AO6" s="31">
        <f>AL6/AN6</f>
        <v>0.58836206896551724</v>
      </c>
      <c r="AQ6" s="292">
        <f t="shared" ref="AQ6:AW44" ca="1" si="14">RANDBETWEEN(95,105)</f>
        <v>101</v>
      </c>
      <c r="AR6" s="456">
        <f t="shared" ca="1" si="6"/>
        <v>108</v>
      </c>
      <c r="AS6" s="414">
        <f t="shared" ref="AS6:AS44" ca="1" si="15">RANDBETWEEN(105,115)</f>
        <v>106</v>
      </c>
      <c r="AT6" s="528">
        <f t="shared" ref="AT6:AT44" ca="1" si="16">RANDBETWEEN(110,120)</f>
        <v>120</v>
      </c>
      <c r="AU6" s="548">
        <f t="shared" ref="AU6:AU44" ca="1" si="17">RANDBETWEEN(115,125)</f>
        <v>117</v>
      </c>
      <c r="AV6" s="31"/>
      <c r="AW6" s="292">
        <f t="shared" ca="1" si="14"/>
        <v>105</v>
      </c>
      <c r="AX6" s="548">
        <f t="shared" ref="AX6:AX44" ca="1" si="18">RANDBETWEEN(115,125)</f>
        <v>120</v>
      </c>
    </row>
    <row r="7" spans="2:50" s="30" customFormat="1" ht="18.75" x14ac:dyDescent="0.3">
      <c r="C7" s="30">
        <v>104</v>
      </c>
      <c r="D7" s="30">
        <v>120</v>
      </c>
      <c r="E7" s="30">
        <f>IF(D7&gt;0,C7 - D7," ")</f>
        <v>-16</v>
      </c>
      <c r="F7" s="31">
        <f t="shared" si="7"/>
        <v>2.1333333333333333</v>
      </c>
      <c r="G7" s="275"/>
      <c r="I7" s="30">
        <v>104</v>
      </c>
      <c r="J7" s="30">
        <v>120</v>
      </c>
      <c r="K7" s="215">
        <f t="shared" si="8"/>
        <v>224</v>
      </c>
      <c r="L7" s="252">
        <f t="shared" si="9"/>
        <v>-14.882487738630022</v>
      </c>
      <c r="M7" s="252">
        <f t="shared" si="10"/>
        <v>483.01665351070272</v>
      </c>
      <c r="N7" s="252">
        <f t="shared" si="11"/>
        <v>574.49900913384545</v>
      </c>
      <c r="O7" s="252">
        <f t="shared" si="12"/>
        <v>1212.2087156155289</v>
      </c>
      <c r="P7" s="252">
        <f t="shared" si="13"/>
        <v>4.464285714285714E-3</v>
      </c>
      <c r="T7" s="171">
        <v>7.2</v>
      </c>
      <c r="U7" s="172">
        <v>7.7</v>
      </c>
      <c r="W7" s="171">
        <v>7.3</v>
      </c>
      <c r="X7" s="172">
        <v>7.7</v>
      </c>
      <c r="Z7" s="171">
        <v>7.2</v>
      </c>
      <c r="AA7" s="172">
        <v>7.7</v>
      </c>
      <c r="AC7" s="171">
        <v>7.5</v>
      </c>
      <c r="AD7" s="172">
        <v>7.7</v>
      </c>
      <c r="AF7" s="30">
        <v>97</v>
      </c>
      <c r="AG7" s="30">
        <v>113</v>
      </c>
      <c r="AI7" s="171">
        <v>9.1</v>
      </c>
      <c r="AJ7" s="172">
        <v>7.7</v>
      </c>
      <c r="AL7" s="292">
        <v>8</v>
      </c>
      <c r="AM7" s="292">
        <v>31</v>
      </c>
      <c r="AN7" s="30">
        <f>SUM(AL7:AM7)</f>
        <v>39</v>
      </c>
      <c r="AO7" s="31">
        <f>AL7/AN7</f>
        <v>0.20512820512820512</v>
      </c>
      <c r="AQ7" s="292">
        <f t="shared" ca="1" si="14"/>
        <v>97</v>
      </c>
      <c r="AR7" s="456">
        <f t="shared" ca="1" si="6"/>
        <v>106</v>
      </c>
      <c r="AS7" s="414">
        <f t="shared" ca="1" si="15"/>
        <v>108</v>
      </c>
      <c r="AT7" s="528">
        <f t="shared" ca="1" si="16"/>
        <v>115</v>
      </c>
      <c r="AU7" s="548">
        <f t="shared" ca="1" si="17"/>
        <v>122</v>
      </c>
      <c r="AV7" s="31"/>
      <c r="AW7" s="292">
        <f t="shared" ca="1" si="14"/>
        <v>98</v>
      </c>
      <c r="AX7" s="548">
        <f t="shared" ca="1" si="18"/>
        <v>119</v>
      </c>
    </row>
    <row r="8" spans="2:50" s="30" customFormat="1" ht="18.75" x14ac:dyDescent="0.3">
      <c r="C8" s="30">
        <v>98</v>
      </c>
      <c r="D8" s="30">
        <v>110</v>
      </c>
      <c r="E8" s="30">
        <f t="shared" ref="E8:E44" si="19">IF(D8&gt;0,C8 - D8," ")</f>
        <v>-12</v>
      </c>
      <c r="F8" s="31">
        <f t="shared" ref="F8:F44" si="20">IF(D8&gt;0,(E8^2/D8)," ")</f>
        <v>1.3090909090909091</v>
      </c>
      <c r="G8" s="275"/>
      <c r="I8" s="30">
        <v>98</v>
      </c>
      <c r="J8" s="30">
        <v>110</v>
      </c>
      <c r="K8" s="215">
        <f t="shared" si="8"/>
        <v>208</v>
      </c>
      <c r="L8" s="252">
        <f t="shared" si="9"/>
        <v>-11.320262937940747</v>
      </c>
      <c r="M8" s="252">
        <f t="shared" si="10"/>
        <v>449.32681290971607</v>
      </c>
      <c r="N8" s="252">
        <f t="shared" si="11"/>
        <v>517.05284023716581</v>
      </c>
      <c r="O8" s="252">
        <f t="shared" si="12"/>
        <v>1110.2079205778741</v>
      </c>
      <c r="P8" s="252">
        <f t="shared" si="13"/>
        <v>4.807692307692308E-3</v>
      </c>
      <c r="T8" s="171">
        <v>7.3</v>
      </c>
      <c r="U8" s="172">
        <v>7.6</v>
      </c>
      <c r="W8" s="171">
        <v>7.2</v>
      </c>
      <c r="X8" s="172">
        <v>7.6</v>
      </c>
      <c r="Z8" s="171">
        <v>7.5</v>
      </c>
      <c r="AA8" s="172">
        <v>7.6</v>
      </c>
      <c r="AC8" s="313">
        <v>7.2</v>
      </c>
      <c r="AD8" s="172">
        <v>7.6</v>
      </c>
      <c r="AF8" s="30">
        <v>100</v>
      </c>
      <c r="AG8" s="30">
        <v>109</v>
      </c>
      <c r="AI8" s="171">
        <v>7.2</v>
      </c>
      <c r="AJ8" s="172">
        <v>7.6</v>
      </c>
      <c r="AL8" s="292">
        <v>64</v>
      </c>
      <c r="AM8" s="292">
        <v>64</v>
      </c>
      <c r="AN8" s="30">
        <f>SUM(AL8:AM8)</f>
        <v>128</v>
      </c>
      <c r="AO8" s="31">
        <f>AL8/AN8</f>
        <v>0.5</v>
      </c>
      <c r="AQ8" s="292">
        <f t="shared" ca="1" si="14"/>
        <v>105</v>
      </c>
      <c r="AR8" s="456">
        <f t="shared" ca="1" si="6"/>
        <v>101</v>
      </c>
      <c r="AS8" s="414">
        <f t="shared" ca="1" si="15"/>
        <v>106</v>
      </c>
      <c r="AT8" s="528">
        <f t="shared" ca="1" si="16"/>
        <v>115</v>
      </c>
      <c r="AU8" s="548">
        <f t="shared" ca="1" si="17"/>
        <v>123</v>
      </c>
      <c r="AV8" s="31"/>
      <c r="AW8" s="292">
        <f t="shared" ca="1" si="14"/>
        <v>102</v>
      </c>
      <c r="AX8" s="548">
        <f t="shared" ca="1" si="18"/>
        <v>116</v>
      </c>
    </row>
    <row r="9" spans="2:50" s="30" customFormat="1" ht="18.75" x14ac:dyDescent="0.3">
      <c r="C9" s="30">
        <v>102</v>
      </c>
      <c r="D9" s="30">
        <v>119</v>
      </c>
      <c r="E9" s="30">
        <f t="shared" si="19"/>
        <v>-17</v>
      </c>
      <c r="F9" s="31">
        <f t="shared" si="20"/>
        <v>2.4285714285714284</v>
      </c>
      <c r="G9" s="275"/>
      <c r="I9" s="30">
        <v>102</v>
      </c>
      <c r="J9" s="30">
        <v>119</v>
      </c>
      <c r="K9" s="522">
        <f t="shared" si="8"/>
        <v>221</v>
      </c>
      <c r="L9" s="252">
        <f t="shared" si="9"/>
        <v>-15.723369342380353</v>
      </c>
      <c r="M9" s="252">
        <f t="shared" si="10"/>
        <v>471.7472269549956</v>
      </c>
      <c r="N9" s="252">
        <f t="shared" si="11"/>
        <v>568.71569568027201</v>
      </c>
      <c r="O9" s="252">
        <f t="shared" si="12"/>
        <v>1192.9939570354234</v>
      </c>
      <c r="P9" s="252">
        <f t="shared" si="13"/>
        <v>4.5248868778280547E-3</v>
      </c>
      <c r="T9" s="171">
        <v>7.2</v>
      </c>
      <c r="U9" s="172">
        <v>7.4</v>
      </c>
      <c r="W9" s="171">
        <v>7.5</v>
      </c>
      <c r="X9" s="172">
        <v>7.4</v>
      </c>
      <c r="Z9" s="313">
        <v>7.2</v>
      </c>
      <c r="AA9" s="172">
        <v>7.4</v>
      </c>
      <c r="AC9" s="313">
        <v>7.1</v>
      </c>
      <c r="AD9" s="172">
        <v>7.4</v>
      </c>
      <c r="AF9" s="30">
        <v>109</v>
      </c>
      <c r="AG9" s="30">
        <v>109</v>
      </c>
      <c r="AI9" s="171">
        <v>7.3</v>
      </c>
      <c r="AJ9" s="172">
        <v>7.4</v>
      </c>
      <c r="AO9" s="31"/>
      <c r="AQ9" s="292">
        <f t="shared" ca="1" si="14"/>
        <v>100</v>
      </c>
      <c r="AR9" s="456">
        <f t="shared" ca="1" si="6"/>
        <v>101</v>
      </c>
      <c r="AS9" s="414">
        <f t="shared" ca="1" si="15"/>
        <v>115</v>
      </c>
      <c r="AT9" s="528">
        <f t="shared" ca="1" si="16"/>
        <v>112</v>
      </c>
      <c r="AU9" s="548">
        <f t="shared" ca="1" si="17"/>
        <v>125</v>
      </c>
      <c r="AV9" s="31"/>
      <c r="AW9" s="292">
        <f t="shared" ca="1" si="14"/>
        <v>104</v>
      </c>
      <c r="AX9" s="548">
        <f t="shared" ca="1" si="18"/>
        <v>123</v>
      </c>
    </row>
    <row r="10" spans="2:50" s="30" customFormat="1" ht="18.75" x14ac:dyDescent="0.3">
      <c r="C10" s="30">
        <v>101</v>
      </c>
      <c r="D10" s="30">
        <v>120</v>
      </c>
      <c r="E10" s="30">
        <f t="shared" si="19"/>
        <v>-19</v>
      </c>
      <c r="F10" s="31">
        <f t="shared" si="20"/>
        <v>3.0083333333333333</v>
      </c>
      <c r="G10" s="275"/>
      <c r="I10" s="30">
        <v>101</v>
      </c>
      <c r="J10" s="30">
        <v>120</v>
      </c>
      <c r="K10" s="522">
        <f t="shared" si="8"/>
        <v>221</v>
      </c>
      <c r="L10" s="252">
        <f t="shared" si="9"/>
        <v>-17.409493820019438</v>
      </c>
      <c r="M10" s="252">
        <f t="shared" si="10"/>
        <v>466.12717220096721</v>
      </c>
      <c r="N10" s="252">
        <f t="shared" si="11"/>
        <v>574.49900913384545</v>
      </c>
      <c r="O10" s="252">
        <f t="shared" si="12"/>
        <v>1192.9939570354234</v>
      </c>
      <c r="P10" s="252">
        <f t="shared" si="13"/>
        <v>4.5248868778280547E-3</v>
      </c>
      <c r="T10" s="171">
        <v>7.5</v>
      </c>
      <c r="U10" s="172">
        <v>6.7</v>
      </c>
      <c r="W10" s="313">
        <v>7.2</v>
      </c>
      <c r="X10" s="172">
        <v>6.7</v>
      </c>
      <c r="Z10" s="313">
        <v>7.1</v>
      </c>
      <c r="AA10" s="172">
        <v>6.7</v>
      </c>
      <c r="AC10" s="313">
        <v>9.1</v>
      </c>
      <c r="AD10" s="172">
        <v>6.7</v>
      </c>
      <c r="AF10" s="30">
        <v>110</v>
      </c>
      <c r="AG10" s="30">
        <v>103</v>
      </c>
      <c r="AI10" s="171">
        <v>7.2</v>
      </c>
      <c r="AJ10" s="172">
        <v>6.7</v>
      </c>
      <c r="AO10" s="31"/>
      <c r="AQ10" s="292">
        <f t="shared" ca="1" si="14"/>
        <v>104</v>
      </c>
      <c r="AR10" s="456">
        <f t="shared" ca="1" si="6"/>
        <v>103</v>
      </c>
      <c r="AS10" s="414">
        <f t="shared" ca="1" si="15"/>
        <v>109</v>
      </c>
      <c r="AT10" s="528">
        <f t="shared" ca="1" si="16"/>
        <v>113</v>
      </c>
      <c r="AU10" s="548">
        <f t="shared" ca="1" si="17"/>
        <v>115</v>
      </c>
      <c r="AV10" s="31"/>
      <c r="AW10" s="292">
        <f t="shared" ca="1" si="14"/>
        <v>104</v>
      </c>
      <c r="AX10" s="548">
        <f t="shared" ca="1" si="18"/>
        <v>125</v>
      </c>
    </row>
    <row r="11" spans="2:50" s="30" customFormat="1" ht="18.75" x14ac:dyDescent="0.3">
      <c r="C11" s="30">
        <v>104</v>
      </c>
      <c r="D11" s="30">
        <v>110</v>
      </c>
      <c r="E11" s="30">
        <f t="shared" si="19"/>
        <v>-6</v>
      </c>
      <c r="F11" s="31">
        <f t="shared" si="20"/>
        <v>0.32727272727272727</v>
      </c>
      <c r="G11" s="275"/>
      <c r="I11" s="30">
        <v>104</v>
      </c>
      <c r="J11" s="30">
        <v>110</v>
      </c>
      <c r="K11" s="522">
        <f t="shared" si="8"/>
        <v>214</v>
      </c>
      <c r="L11" s="252">
        <f t="shared" si="9"/>
        <v>-5.8333045317085332</v>
      </c>
      <c r="M11" s="252">
        <f t="shared" si="10"/>
        <v>483.01665351070272</v>
      </c>
      <c r="N11" s="252">
        <f t="shared" si="11"/>
        <v>517.05284023716581</v>
      </c>
      <c r="O11" s="252">
        <f t="shared" si="12"/>
        <v>1148.3188672146762</v>
      </c>
      <c r="P11" s="252">
        <f t="shared" si="13"/>
        <v>4.6728971962616819E-3</v>
      </c>
      <c r="T11" s="313">
        <v>7.2</v>
      </c>
      <c r="U11" s="172">
        <v>7.2</v>
      </c>
      <c r="W11" s="28">
        <v>7.1</v>
      </c>
      <c r="X11" s="172">
        <v>7.2</v>
      </c>
      <c r="Z11" s="28">
        <v>9.1</v>
      </c>
      <c r="AA11" s="172">
        <v>7.2</v>
      </c>
      <c r="AC11" s="28">
        <v>7.2</v>
      </c>
      <c r="AD11" s="172">
        <v>7.2</v>
      </c>
      <c r="AF11" s="30">
        <v>101</v>
      </c>
      <c r="AG11" s="30">
        <v>109</v>
      </c>
      <c r="AI11" s="171">
        <v>7.5</v>
      </c>
      <c r="AJ11" s="172">
        <v>7.2</v>
      </c>
      <c r="AL11" s="30">
        <f>SUM(AL5:AL8)</f>
        <v>374</v>
      </c>
      <c r="AM11" s="30">
        <f>SUM(AM5:AM8)</f>
        <v>297</v>
      </c>
      <c r="AN11" s="30">
        <f>SUM(AN5:AN8)</f>
        <v>671</v>
      </c>
      <c r="AO11" s="31">
        <f xml:space="preserve"> AL11 / AN11</f>
        <v>0.55737704918032782</v>
      </c>
      <c r="AQ11" s="292">
        <f t="shared" ca="1" si="14"/>
        <v>99</v>
      </c>
      <c r="AR11" s="456">
        <f t="shared" ref="AR11:AR44" ca="1" si="21">RANDBETWEEN(100,110)</f>
        <v>108</v>
      </c>
      <c r="AS11" s="414">
        <f t="shared" ca="1" si="15"/>
        <v>110</v>
      </c>
      <c r="AT11" s="528">
        <f t="shared" ca="1" si="16"/>
        <v>112</v>
      </c>
      <c r="AU11" s="548">
        <f t="shared" ca="1" si="17"/>
        <v>124</v>
      </c>
      <c r="AV11" s="31"/>
      <c r="AW11" s="292">
        <f t="shared" ca="1" si="14"/>
        <v>98</v>
      </c>
      <c r="AX11" s="548">
        <f t="shared" ca="1" si="18"/>
        <v>119</v>
      </c>
    </row>
    <row r="12" spans="2:50" s="30" customFormat="1" ht="22.5" x14ac:dyDescent="0.45">
      <c r="C12" s="30">
        <v>103</v>
      </c>
      <c r="D12" s="30">
        <v>120</v>
      </c>
      <c r="E12" s="30">
        <f t="shared" si="19"/>
        <v>-17</v>
      </c>
      <c r="F12" s="31">
        <f t="shared" si="20"/>
        <v>2.4083333333333332</v>
      </c>
      <c r="G12" s="275"/>
      <c r="I12" s="30">
        <v>103</v>
      </c>
      <c r="J12" s="30">
        <v>120</v>
      </c>
      <c r="K12" s="522">
        <f t="shared" si="8"/>
        <v>223</v>
      </c>
      <c r="L12" s="252">
        <f t="shared" si="9"/>
        <v>-15.73456371889826</v>
      </c>
      <c r="M12" s="252">
        <f t="shared" si="10"/>
        <v>477.3770857876525</v>
      </c>
      <c r="N12" s="252">
        <f t="shared" si="11"/>
        <v>574.49900913384545</v>
      </c>
      <c r="O12" s="252">
        <f t="shared" si="12"/>
        <v>1205.7993050356065</v>
      </c>
      <c r="P12" s="252">
        <f t="shared" si="13"/>
        <v>4.4843049327354259E-3</v>
      </c>
      <c r="T12" s="500" t="s">
        <v>369</v>
      </c>
      <c r="W12" s="500" t="s">
        <v>369</v>
      </c>
      <c r="Z12" s="500" t="s">
        <v>369</v>
      </c>
      <c r="AC12" s="500" t="s">
        <v>369</v>
      </c>
      <c r="AF12" s="30">
        <v>101</v>
      </c>
      <c r="AG12" s="30">
        <v>117</v>
      </c>
      <c r="AL12" s="55" t="s">
        <v>393</v>
      </c>
      <c r="AM12" s="292">
        <v>28.312494404188136</v>
      </c>
      <c r="AN12" s="55" t="s">
        <v>395</v>
      </c>
      <c r="AO12" s="186" t="s">
        <v>394</v>
      </c>
      <c r="AQ12" s="292">
        <f t="shared" ca="1" si="14"/>
        <v>95</v>
      </c>
      <c r="AR12" s="456">
        <f t="shared" ca="1" si="21"/>
        <v>103</v>
      </c>
      <c r="AS12" s="414">
        <f t="shared" ca="1" si="15"/>
        <v>111</v>
      </c>
      <c r="AT12" s="528">
        <f t="shared" ca="1" si="16"/>
        <v>114</v>
      </c>
      <c r="AU12" s="548">
        <f t="shared" ca="1" si="17"/>
        <v>120</v>
      </c>
      <c r="AW12" s="292">
        <f t="shared" ca="1" si="14"/>
        <v>102</v>
      </c>
      <c r="AX12" s="548">
        <f t="shared" ca="1" si="18"/>
        <v>125</v>
      </c>
    </row>
    <row r="13" spans="2:50" s="30" customFormat="1" ht="18.75" x14ac:dyDescent="0.3">
      <c r="C13" s="30">
        <v>101</v>
      </c>
      <c r="D13" s="30">
        <v>115</v>
      </c>
      <c r="E13" s="30">
        <f t="shared" si="19"/>
        <v>-14</v>
      </c>
      <c r="F13" s="31">
        <f t="shared" si="20"/>
        <v>1.7043478260869565</v>
      </c>
      <c r="G13" s="275"/>
      <c r="I13" s="30">
        <v>101</v>
      </c>
      <c r="J13" s="30">
        <v>115</v>
      </c>
      <c r="K13" s="522">
        <f t="shared" si="8"/>
        <v>216</v>
      </c>
      <c r="L13" s="252">
        <f t="shared" si="9"/>
        <v>-13.110972763721049</v>
      </c>
      <c r="M13" s="252">
        <f t="shared" si="10"/>
        <v>466.12717220096721</v>
      </c>
      <c r="N13" s="252">
        <f t="shared" si="11"/>
        <v>545.66719476177377</v>
      </c>
      <c r="O13" s="252">
        <f t="shared" si="12"/>
        <v>1161.0601360597798</v>
      </c>
      <c r="P13" s="252">
        <f t="shared" si="13"/>
        <v>4.6296296296296294E-3</v>
      </c>
      <c r="AF13" s="30">
        <v>91</v>
      </c>
      <c r="AG13" s="30">
        <v>103</v>
      </c>
      <c r="AL13" s="55" t="s">
        <v>37</v>
      </c>
      <c r="AM13" s="292">
        <f>AA39</f>
        <v>0</v>
      </c>
      <c r="AQ13" s="292">
        <f t="shared" ca="1" si="14"/>
        <v>102</v>
      </c>
      <c r="AR13" s="456">
        <f t="shared" ca="1" si="21"/>
        <v>104</v>
      </c>
      <c r="AS13" s="414">
        <f t="shared" ca="1" si="15"/>
        <v>115</v>
      </c>
      <c r="AT13" s="528">
        <f t="shared" ca="1" si="16"/>
        <v>112</v>
      </c>
      <c r="AU13" s="548">
        <f t="shared" ca="1" si="17"/>
        <v>116</v>
      </c>
      <c r="AW13" s="292">
        <f t="shared" ca="1" si="14"/>
        <v>100</v>
      </c>
      <c r="AX13" s="548">
        <f t="shared" ca="1" si="18"/>
        <v>120</v>
      </c>
    </row>
    <row r="14" spans="2:50" s="30" customFormat="1" ht="18.75" x14ac:dyDescent="0.3">
      <c r="C14" s="30">
        <v>95</v>
      </c>
      <c r="D14" s="30">
        <v>112</v>
      </c>
      <c r="E14" s="30">
        <f t="shared" si="19"/>
        <v>-17</v>
      </c>
      <c r="F14" s="31">
        <f t="shared" si="20"/>
        <v>2.5803571428571428</v>
      </c>
      <c r="G14" s="275"/>
      <c r="I14" s="30">
        <v>95</v>
      </c>
      <c r="J14" s="30">
        <v>112</v>
      </c>
      <c r="K14" s="522">
        <f t="shared" si="8"/>
        <v>207</v>
      </c>
      <c r="L14" s="252">
        <f t="shared" si="9"/>
        <v>-15.639088070982604</v>
      </c>
      <c r="M14" s="252">
        <f t="shared" si="10"/>
        <v>432.61830470205138</v>
      </c>
      <c r="N14" s="252">
        <f t="shared" si="11"/>
        <v>528.4718735850505</v>
      </c>
      <c r="O14" s="252">
        <f t="shared" si="12"/>
        <v>1103.8727902059313</v>
      </c>
      <c r="P14" s="252">
        <f t="shared" si="13"/>
        <v>4.830917874396135E-3</v>
      </c>
      <c r="AF14" s="30">
        <v>98</v>
      </c>
      <c r="AG14" s="30">
        <v>104</v>
      </c>
      <c r="AQ14" s="292">
        <f t="shared" ca="1" si="14"/>
        <v>103</v>
      </c>
      <c r="AR14" s="456">
        <f t="shared" ca="1" si="21"/>
        <v>105</v>
      </c>
      <c r="AS14" s="414">
        <f t="shared" ca="1" si="15"/>
        <v>111</v>
      </c>
      <c r="AT14" s="528">
        <f t="shared" ca="1" si="16"/>
        <v>118</v>
      </c>
      <c r="AU14" s="548">
        <f t="shared" ca="1" si="17"/>
        <v>124</v>
      </c>
      <c r="AW14" s="292">
        <f t="shared" ca="1" si="14"/>
        <v>104</v>
      </c>
      <c r="AX14" s="548">
        <f t="shared" ca="1" si="18"/>
        <v>119</v>
      </c>
    </row>
    <row r="15" spans="2:50" s="30" customFormat="1" ht="18.75" x14ac:dyDescent="0.3">
      <c r="C15" s="302"/>
      <c r="D15" s="302"/>
      <c r="E15" s="30" t="str">
        <f t="shared" si="19"/>
        <v xml:space="preserve"> </v>
      </c>
      <c r="F15" s="31" t="str">
        <f t="shared" si="20"/>
        <v xml:space="preserve"> </v>
      </c>
      <c r="G15" s="275"/>
      <c r="K15" s="522" t="str">
        <f t="shared" si="8"/>
        <v xml:space="preserve"> </v>
      </c>
      <c r="L15" s="252" t="str">
        <f t="shared" si="9"/>
        <v xml:space="preserve"> </v>
      </c>
      <c r="M15" s="252" t="str">
        <f t="shared" si="10"/>
        <v xml:space="preserve"> </v>
      </c>
      <c r="N15" s="252" t="str">
        <f t="shared" si="11"/>
        <v xml:space="preserve"> </v>
      </c>
      <c r="O15" s="252" t="str">
        <f t="shared" si="12"/>
        <v xml:space="preserve"> </v>
      </c>
      <c r="P15" s="252" t="str">
        <f t="shared" si="13"/>
        <v xml:space="preserve"> </v>
      </c>
      <c r="AF15" s="30">
        <v>91</v>
      </c>
      <c r="AG15" s="30">
        <v>117</v>
      </c>
      <c r="AL15" s="30">
        <v>10</v>
      </c>
      <c r="AM15" s="30">
        <v>33</v>
      </c>
      <c r="AQ15" s="292">
        <f t="shared" ca="1" si="14"/>
        <v>97</v>
      </c>
      <c r="AR15" s="456">
        <f t="shared" ca="1" si="21"/>
        <v>101</v>
      </c>
      <c r="AS15" s="414">
        <f t="shared" ca="1" si="15"/>
        <v>112</v>
      </c>
      <c r="AT15" s="528">
        <f t="shared" ca="1" si="16"/>
        <v>114</v>
      </c>
      <c r="AU15" s="548">
        <f t="shared" ca="1" si="17"/>
        <v>121</v>
      </c>
      <c r="AW15" s="292">
        <f t="shared" ca="1" si="14"/>
        <v>97</v>
      </c>
      <c r="AX15" s="548">
        <f t="shared" ca="1" si="18"/>
        <v>117</v>
      </c>
    </row>
    <row r="16" spans="2:50" s="30" customFormat="1" ht="18.75" x14ac:dyDescent="0.3">
      <c r="C16" s="302"/>
      <c r="D16" s="302"/>
      <c r="E16" s="30" t="str">
        <f t="shared" si="19"/>
        <v xml:space="preserve"> </v>
      </c>
      <c r="F16" s="31" t="str">
        <f t="shared" si="20"/>
        <v xml:space="preserve"> </v>
      </c>
      <c r="G16" s="275"/>
      <c r="K16" s="522" t="str">
        <f t="shared" si="8"/>
        <v xml:space="preserve"> </v>
      </c>
      <c r="L16" s="252" t="str">
        <f t="shared" si="9"/>
        <v xml:space="preserve"> </v>
      </c>
      <c r="M16" s="252" t="str">
        <f t="shared" si="10"/>
        <v xml:space="preserve"> </v>
      </c>
      <c r="N16" s="252" t="str">
        <f t="shared" si="11"/>
        <v xml:space="preserve"> </v>
      </c>
      <c r="O16" s="252" t="str">
        <f t="shared" si="12"/>
        <v xml:space="preserve"> </v>
      </c>
      <c r="P16" s="252" t="str">
        <f t="shared" si="13"/>
        <v xml:space="preserve"> </v>
      </c>
      <c r="AF16" s="30">
        <v>105</v>
      </c>
      <c r="AG16" s="30">
        <v>110</v>
      </c>
      <c r="AL16" s="30">
        <v>50</v>
      </c>
      <c r="AM16" s="30">
        <v>33</v>
      </c>
      <c r="AQ16" s="292">
        <f t="shared" ca="1" si="14"/>
        <v>101</v>
      </c>
      <c r="AR16" s="456">
        <f t="shared" ca="1" si="21"/>
        <v>105</v>
      </c>
      <c r="AS16" s="414">
        <f t="shared" ca="1" si="15"/>
        <v>108</v>
      </c>
      <c r="AT16" s="528">
        <f t="shared" ca="1" si="16"/>
        <v>110</v>
      </c>
      <c r="AU16" s="548">
        <f t="shared" ca="1" si="17"/>
        <v>123</v>
      </c>
      <c r="AW16" s="292">
        <f t="shared" ca="1" si="14"/>
        <v>104</v>
      </c>
      <c r="AX16" s="548">
        <f t="shared" ca="1" si="18"/>
        <v>123</v>
      </c>
    </row>
    <row r="17" spans="3:50" s="30" customFormat="1" ht="18.75" x14ac:dyDescent="0.3">
      <c r="C17" s="302"/>
      <c r="D17" s="302"/>
      <c r="E17" s="30" t="str">
        <f t="shared" si="19"/>
        <v xml:space="preserve"> </v>
      </c>
      <c r="F17" s="31" t="str">
        <f t="shared" si="20"/>
        <v xml:space="preserve"> </v>
      </c>
      <c r="G17" s="275"/>
      <c r="K17" s="522" t="str">
        <f t="shared" si="8"/>
        <v xml:space="preserve"> </v>
      </c>
      <c r="L17" s="252" t="str">
        <f t="shared" si="9"/>
        <v xml:space="preserve"> </v>
      </c>
      <c r="M17" s="252" t="str">
        <f t="shared" si="10"/>
        <v xml:space="preserve"> </v>
      </c>
      <c r="N17" s="252" t="str">
        <f t="shared" si="11"/>
        <v xml:space="preserve"> </v>
      </c>
      <c r="O17" s="252" t="str">
        <f t="shared" si="12"/>
        <v xml:space="preserve"> </v>
      </c>
      <c r="P17" s="252" t="str">
        <f t="shared" si="13"/>
        <v xml:space="preserve"> </v>
      </c>
      <c r="AF17" s="30">
        <v>102</v>
      </c>
      <c r="AG17" s="30">
        <v>113</v>
      </c>
      <c r="AL17" s="30">
        <v>40</v>
      </c>
      <c r="AM17" s="30">
        <v>33</v>
      </c>
      <c r="AQ17" s="292">
        <f t="shared" ca="1" si="14"/>
        <v>98</v>
      </c>
      <c r="AR17" s="456">
        <f t="shared" ca="1" si="21"/>
        <v>109</v>
      </c>
      <c r="AS17" s="414">
        <f t="shared" ca="1" si="15"/>
        <v>111</v>
      </c>
      <c r="AT17" s="528">
        <f t="shared" ca="1" si="16"/>
        <v>120</v>
      </c>
      <c r="AU17" s="548">
        <f t="shared" ca="1" si="17"/>
        <v>121</v>
      </c>
      <c r="AW17" s="292">
        <f t="shared" ca="1" si="14"/>
        <v>99</v>
      </c>
      <c r="AX17" s="548">
        <f t="shared" ca="1" si="18"/>
        <v>119</v>
      </c>
    </row>
    <row r="18" spans="3:50" s="30" customFormat="1" ht="18.75" x14ac:dyDescent="0.3">
      <c r="C18" s="302"/>
      <c r="D18" s="302"/>
      <c r="E18" s="30" t="str">
        <f t="shared" si="19"/>
        <v xml:space="preserve"> </v>
      </c>
      <c r="F18" s="31" t="str">
        <f t="shared" si="20"/>
        <v xml:space="preserve"> </v>
      </c>
      <c r="G18" s="275"/>
      <c r="K18" s="522" t="str">
        <f t="shared" si="8"/>
        <v xml:space="preserve"> </v>
      </c>
      <c r="L18" s="252" t="str">
        <f t="shared" si="9"/>
        <v xml:space="preserve"> </v>
      </c>
      <c r="M18" s="252" t="str">
        <f t="shared" si="10"/>
        <v xml:space="preserve"> </v>
      </c>
      <c r="N18" s="252" t="str">
        <f t="shared" si="11"/>
        <v xml:space="preserve"> </v>
      </c>
      <c r="O18" s="252" t="str">
        <f t="shared" si="12"/>
        <v xml:space="preserve"> </v>
      </c>
      <c r="P18" s="252" t="str">
        <f t="shared" si="13"/>
        <v xml:space="preserve"> </v>
      </c>
      <c r="AF18" s="30">
        <v>105</v>
      </c>
      <c r="AG18" s="30">
        <v>100</v>
      </c>
      <c r="AQ18" s="292">
        <f t="shared" ca="1" si="14"/>
        <v>96</v>
      </c>
      <c r="AR18" s="456">
        <f t="shared" ca="1" si="21"/>
        <v>106</v>
      </c>
      <c r="AS18" s="414">
        <f t="shared" ca="1" si="15"/>
        <v>107</v>
      </c>
      <c r="AT18" s="528">
        <f t="shared" ca="1" si="16"/>
        <v>118</v>
      </c>
      <c r="AU18" s="548">
        <f t="shared" ca="1" si="17"/>
        <v>125</v>
      </c>
      <c r="AW18" s="292">
        <f t="shared" ca="1" si="14"/>
        <v>96</v>
      </c>
      <c r="AX18" s="548">
        <f t="shared" ca="1" si="18"/>
        <v>115</v>
      </c>
    </row>
    <row r="19" spans="3:50" s="30" customFormat="1" ht="18.75" x14ac:dyDescent="0.3">
      <c r="C19" s="302"/>
      <c r="D19" s="302"/>
      <c r="E19" s="30" t="str">
        <f t="shared" si="19"/>
        <v xml:space="preserve"> </v>
      </c>
      <c r="F19" s="31" t="str">
        <f t="shared" si="20"/>
        <v xml:space="preserve"> </v>
      </c>
      <c r="G19" s="275"/>
      <c r="K19" s="522" t="str">
        <f t="shared" si="8"/>
        <v xml:space="preserve"> </v>
      </c>
      <c r="L19" s="252" t="str">
        <f t="shared" si="9"/>
        <v xml:space="preserve"> </v>
      </c>
      <c r="M19" s="252" t="str">
        <f t="shared" si="10"/>
        <v xml:space="preserve"> </v>
      </c>
      <c r="N19" s="252" t="str">
        <f t="shared" si="11"/>
        <v xml:space="preserve"> </v>
      </c>
      <c r="O19" s="252" t="str">
        <f t="shared" si="12"/>
        <v xml:space="preserve"> </v>
      </c>
      <c r="P19" s="252" t="str">
        <f t="shared" si="13"/>
        <v xml:space="preserve"> </v>
      </c>
      <c r="AF19" s="30">
        <v>91</v>
      </c>
      <c r="AG19" s="30">
        <v>104</v>
      </c>
      <c r="AQ19" s="292">
        <f t="shared" ca="1" si="14"/>
        <v>100</v>
      </c>
      <c r="AR19" s="456">
        <f t="shared" ca="1" si="21"/>
        <v>101</v>
      </c>
      <c r="AS19" s="414">
        <f t="shared" ca="1" si="15"/>
        <v>113</v>
      </c>
      <c r="AT19" s="528">
        <f t="shared" ca="1" si="16"/>
        <v>112</v>
      </c>
      <c r="AU19" s="548">
        <f t="shared" ca="1" si="17"/>
        <v>119</v>
      </c>
      <c r="AW19" s="292">
        <f t="shared" ca="1" si="14"/>
        <v>99</v>
      </c>
      <c r="AX19" s="548">
        <f t="shared" ca="1" si="18"/>
        <v>121</v>
      </c>
    </row>
    <row r="20" spans="3:50" s="30" customFormat="1" ht="18.75" x14ac:dyDescent="0.3">
      <c r="C20" s="302"/>
      <c r="D20" s="302"/>
      <c r="E20" s="30" t="str">
        <f t="shared" si="19"/>
        <v xml:space="preserve"> </v>
      </c>
      <c r="F20" s="31" t="str">
        <f t="shared" si="20"/>
        <v xml:space="preserve"> </v>
      </c>
      <c r="G20" s="275"/>
      <c r="K20" s="522" t="str">
        <f t="shared" si="8"/>
        <v xml:space="preserve"> </v>
      </c>
      <c r="L20" s="252" t="str">
        <f t="shared" si="9"/>
        <v xml:space="preserve"> </v>
      </c>
      <c r="M20" s="252" t="str">
        <f t="shared" si="10"/>
        <v xml:space="preserve"> </v>
      </c>
      <c r="N20" s="252" t="str">
        <f t="shared" si="11"/>
        <v xml:space="preserve"> </v>
      </c>
      <c r="O20" s="252" t="str">
        <f t="shared" si="12"/>
        <v xml:space="preserve"> </v>
      </c>
      <c r="P20" s="252" t="str">
        <f t="shared" si="13"/>
        <v xml:space="preserve"> </v>
      </c>
      <c r="AF20" s="30">
        <v>100</v>
      </c>
      <c r="AG20" s="30">
        <v>108</v>
      </c>
      <c r="AQ20" s="292">
        <f t="shared" ca="1" si="14"/>
        <v>97</v>
      </c>
      <c r="AR20" s="456">
        <f t="shared" ca="1" si="21"/>
        <v>109</v>
      </c>
      <c r="AS20" s="414">
        <f t="shared" ca="1" si="15"/>
        <v>110</v>
      </c>
      <c r="AT20" s="528">
        <f t="shared" ca="1" si="16"/>
        <v>115</v>
      </c>
      <c r="AU20" s="548">
        <f t="shared" ca="1" si="17"/>
        <v>122</v>
      </c>
      <c r="AW20" s="292">
        <f t="shared" ca="1" si="14"/>
        <v>99</v>
      </c>
      <c r="AX20" s="548">
        <f t="shared" ca="1" si="18"/>
        <v>124</v>
      </c>
    </row>
    <row r="21" spans="3:50" s="30" customFormat="1" ht="18.75" x14ac:dyDescent="0.3">
      <c r="C21" s="302"/>
      <c r="D21" s="302"/>
      <c r="E21" s="30" t="str">
        <f t="shared" si="19"/>
        <v xml:space="preserve"> </v>
      </c>
      <c r="F21" s="31" t="str">
        <f t="shared" si="20"/>
        <v xml:space="preserve"> </v>
      </c>
      <c r="G21" s="275"/>
      <c r="K21" s="522" t="str">
        <f t="shared" si="8"/>
        <v xml:space="preserve"> </v>
      </c>
      <c r="L21" s="252" t="str">
        <f t="shared" si="9"/>
        <v xml:space="preserve"> </v>
      </c>
      <c r="M21" s="252" t="str">
        <f t="shared" si="10"/>
        <v xml:space="preserve"> </v>
      </c>
      <c r="N21" s="252" t="str">
        <f t="shared" si="11"/>
        <v xml:space="preserve"> </v>
      </c>
      <c r="O21" s="252" t="str">
        <f t="shared" si="12"/>
        <v xml:space="preserve"> </v>
      </c>
      <c r="P21" s="252" t="str">
        <f t="shared" si="13"/>
        <v xml:space="preserve"> </v>
      </c>
      <c r="AF21" s="30">
        <v>100</v>
      </c>
      <c r="AG21" s="30">
        <v>111</v>
      </c>
      <c r="AQ21" s="292">
        <f t="shared" ca="1" si="14"/>
        <v>98</v>
      </c>
      <c r="AR21" s="456">
        <f t="shared" ca="1" si="21"/>
        <v>105</v>
      </c>
      <c r="AS21" s="414">
        <f t="shared" ca="1" si="15"/>
        <v>111</v>
      </c>
      <c r="AT21" s="528">
        <f t="shared" ca="1" si="16"/>
        <v>115</v>
      </c>
      <c r="AU21" s="548">
        <f t="shared" ca="1" si="17"/>
        <v>124</v>
      </c>
      <c r="AW21" s="292">
        <f t="shared" ca="1" si="14"/>
        <v>104</v>
      </c>
      <c r="AX21" s="548">
        <f t="shared" ca="1" si="18"/>
        <v>125</v>
      </c>
    </row>
    <row r="22" spans="3:50" s="30" customFormat="1" ht="18.75" x14ac:dyDescent="0.3">
      <c r="C22" s="302"/>
      <c r="D22" s="302"/>
      <c r="E22" s="30" t="str">
        <f t="shared" si="19"/>
        <v xml:space="preserve"> </v>
      </c>
      <c r="F22" s="31" t="str">
        <f t="shared" si="20"/>
        <v xml:space="preserve"> </v>
      </c>
      <c r="G22" s="275"/>
      <c r="K22" s="522" t="str">
        <f t="shared" si="8"/>
        <v xml:space="preserve"> </v>
      </c>
      <c r="L22" s="252" t="str">
        <f t="shared" si="9"/>
        <v xml:space="preserve"> </v>
      </c>
      <c r="M22" s="252" t="str">
        <f t="shared" si="10"/>
        <v xml:space="preserve"> </v>
      </c>
      <c r="N22" s="252" t="str">
        <f t="shared" si="11"/>
        <v xml:space="preserve"> </v>
      </c>
      <c r="O22" s="252" t="str">
        <f t="shared" si="12"/>
        <v xml:space="preserve"> </v>
      </c>
      <c r="P22" s="252" t="str">
        <f t="shared" si="13"/>
        <v xml:space="preserve"> </v>
      </c>
      <c r="AF22" s="30">
        <v>107</v>
      </c>
      <c r="AG22" s="30">
        <v>117</v>
      </c>
      <c r="AQ22" s="292">
        <f t="shared" ca="1" si="14"/>
        <v>96</v>
      </c>
      <c r="AR22" s="456">
        <f t="shared" ca="1" si="21"/>
        <v>100</v>
      </c>
      <c r="AS22" s="414">
        <f t="shared" ca="1" si="15"/>
        <v>107</v>
      </c>
      <c r="AT22" s="528">
        <f t="shared" ca="1" si="16"/>
        <v>113</v>
      </c>
      <c r="AU22" s="548">
        <f t="shared" ca="1" si="17"/>
        <v>117</v>
      </c>
      <c r="AW22" s="292">
        <f t="shared" ca="1" si="14"/>
        <v>95</v>
      </c>
      <c r="AX22" s="548">
        <f t="shared" ca="1" si="18"/>
        <v>121</v>
      </c>
    </row>
    <row r="23" spans="3:50" s="30" customFormat="1" ht="18.75" x14ac:dyDescent="0.3">
      <c r="C23" s="302"/>
      <c r="D23" s="302"/>
      <c r="E23" s="30" t="str">
        <f t="shared" si="19"/>
        <v xml:space="preserve"> </v>
      </c>
      <c r="F23" s="31" t="str">
        <f t="shared" si="20"/>
        <v xml:space="preserve"> </v>
      </c>
      <c r="G23" s="275"/>
      <c r="K23" s="522" t="str">
        <f t="shared" si="8"/>
        <v xml:space="preserve"> </v>
      </c>
      <c r="L23" s="252" t="str">
        <f t="shared" si="9"/>
        <v xml:space="preserve"> </v>
      </c>
      <c r="M23" s="252" t="str">
        <f t="shared" si="10"/>
        <v xml:space="preserve"> </v>
      </c>
      <c r="N23" s="252" t="str">
        <f t="shared" si="11"/>
        <v xml:space="preserve"> </v>
      </c>
      <c r="O23" s="252" t="str">
        <f t="shared" si="12"/>
        <v xml:space="preserve"> </v>
      </c>
      <c r="P23" s="252" t="str">
        <f t="shared" si="13"/>
        <v xml:space="preserve"> </v>
      </c>
      <c r="AF23" s="30">
        <v>94</v>
      </c>
      <c r="AG23" s="30">
        <v>114</v>
      </c>
      <c r="AQ23" s="292">
        <f t="shared" ca="1" si="14"/>
        <v>97</v>
      </c>
      <c r="AR23" s="456">
        <f t="shared" ca="1" si="21"/>
        <v>109</v>
      </c>
      <c r="AS23" s="414">
        <f t="shared" ca="1" si="15"/>
        <v>105</v>
      </c>
      <c r="AT23" s="528">
        <f t="shared" ca="1" si="16"/>
        <v>120</v>
      </c>
      <c r="AU23" s="548">
        <f t="shared" ca="1" si="17"/>
        <v>124</v>
      </c>
      <c r="AW23" s="292">
        <f t="shared" ca="1" si="14"/>
        <v>101</v>
      </c>
      <c r="AX23" s="548">
        <f t="shared" ca="1" si="18"/>
        <v>124</v>
      </c>
    </row>
    <row r="24" spans="3:50" s="30" customFormat="1" ht="18.75" x14ac:dyDescent="0.3">
      <c r="C24" s="302"/>
      <c r="D24" s="302"/>
      <c r="E24" s="30" t="str">
        <f t="shared" si="19"/>
        <v xml:space="preserve"> </v>
      </c>
      <c r="F24" s="31" t="str">
        <f t="shared" si="20"/>
        <v xml:space="preserve"> </v>
      </c>
      <c r="G24" s="275"/>
      <c r="K24" s="522" t="str">
        <f t="shared" si="8"/>
        <v xml:space="preserve"> </v>
      </c>
      <c r="L24" s="252" t="str">
        <f t="shared" si="9"/>
        <v xml:space="preserve"> </v>
      </c>
      <c r="M24" s="252" t="str">
        <f t="shared" si="10"/>
        <v xml:space="preserve"> </v>
      </c>
      <c r="N24" s="252" t="str">
        <f t="shared" si="11"/>
        <v xml:space="preserve"> </v>
      </c>
      <c r="O24" s="252" t="str">
        <f t="shared" si="12"/>
        <v xml:space="preserve"> </v>
      </c>
      <c r="P24" s="252" t="str">
        <f t="shared" si="13"/>
        <v xml:space="preserve"> </v>
      </c>
      <c r="AF24" s="30">
        <v>100</v>
      </c>
      <c r="AG24" s="30">
        <v>105</v>
      </c>
      <c r="AQ24" s="292">
        <f t="shared" ca="1" si="14"/>
        <v>104</v>
      </c>
      <c r="AR24" s="456">
        <f t="shared" ca="1" si="21"/>
        <v>108</v>
      </c>
      <c r="AS24" s="414">
        <f t="shared" ca="1" si="15"/>
        <v>111</v>
      </c>
      <c r="AT24" s="528">
        <f t="shared" ca="1" si="16"/>
        <v>116</v>
      </c>
      <c r="AU24" s="548">
        <f t="shared" ca="1" si="17"/>
        <v>119</v>
      </c>
      <c r="AW24" s="292">
        <f t="shared" ca="1" si="14"/>
        <v>104</v>
      </c>
      <c r="AX24" s="548">
        <f t="shared" ca="1" si="18"/>
        <v>117</v>
      </c>
    </row>
    <row r="25" spans="3:50" s="30" customFormat="1" ht="18.75" x14ac:dyDescent="0.3">
      <c r="C25" s="302"/>
      <c r="D25" s="302"/>
      <c r="E25" s="30" t="str">
        <f t="shared" si="19"/>
        <v xml:space="preserve"> </v>
      </c>
      <c r="F25" s="31" t="str">
        <f t="shared" si="20"/>
        <v xml:space="preserve"> </v>
      </c>
      <c r="G25" s="545"/>
      <c r="K25" s="522" t="str">
        <f t="shared" si="8"/>
        <v xml:space="preserve"> </v>
      </c>
      <c r="L25" s="252" t="str">
        <f t="shared" si="9"/>
        <v xml:space="preserve"> </v>
      </c>
      <c r="M25" s="252" t="str">
        <f t="shared" si="10"/>
        <v xml:space="preserve"> </v>
      </c>
      <c r="N25" s="252" t="str">
        <f t="shared" si="11"/>
        <v xml:space="preserve"> </v>
      </c>
      <c r="O25" s="252" t="str">
        <f t="shared" si="12"/>
        <v xml:space="preserve"> </v>
      </c>
      <c r="P25" s="252" t="str">
        <f t="shared" si="13"/>
        <v xml:space="preserve"> </v>
      </c>
      <c r="AQ25" s="292">
        <f t="shared" ca="1" si="14"/>
        <v>104</v>
      </c>
      <c r="AR25" s="456">
        <f t="shared" ca="1" si="21"/>
        <v>103</v>
      </c>
      <c r="AS25" s="414">
        <f t="shared" ca="1" si="15"/>
        <v>105</v>
      </c>
      <c r="AT25" s="528">
        <f t="shared" ca="1" si="16"/>
        <v>118</v>
      </c>
      <c r="AU25" s="548">
        <f t="shared" ca="1" si="17"/>
        <v>124</v>
      </c>
      <c r="AW25" s="292">
        <f t="shared" ca="1" si="14"/>
        <v>105</v>
      </c>
      <c r="AX25" s="548">
        <f t="shared" ca="1" si="18"/>
        <v>118</v>
      </c>
    </row>
    <row r="26" spans="3:50" s="30" customFormat="1" ht="18.75" x14ac:dyDescent="0.3">
      <c r="C26" s="302"/>
      <c r="D26" s="302"/>
      <c r="E26" s="30" t="str">
        <f t="shared" si="19"/>
        <v xml:space="preserve"> </v>
      </c>
      <c r="F26" s="31" t="str">
        <f t="shared" si="20"/>
        <v xml:space="preserve"> </v>
      </c>
      <c r="G26" s="545"/>
      <c r="K26" s="522" t="str">
        <f t="shared" si="8"/>
        <v xml:space="preserve"> </v>
      </c>
      <c r="L26" s="252" t="str">
        <f t="shared" si="9"/>
        <v xml:space="preserve"> </v>
      </c>
      <c r="M26" s="252" t="str">
        <f t="shared" si="10"/>
        <v xml:space="preserve"> </v>
      </c>
      <c r="N26" s="252" t="str">
        <f t="shared" si="11"/>
        <v xml:space="preserve"> </v>
      </c>
      <c r="O26" s="252" t="str">
        <f t="shared" si="12"/>
        <v xml:space="preserve"> </v>
      </c>
      <c r="P26" s="252" t="str">
        <f t="shared" si="13"/>
        <v xml:space="preserve"> </v>
      </c>
      <c r="AQ26" s="292">
        <f t="shared" ca="1" si="14"/>
        <v>100</v>
      </c>
      <c r="AR26" s="456">
        <f t="shared" ca="1" si="21"/>
        <v>103</v>
      </c>
      <c r="AS26" s="414">
        <f t="shared" ca="1" si="15"/>
        <v>115</v>
      </c>
      <c r="AT26" s="528">
        <f t="shared" ca="1" si="16"/>
        <v>119</v>
      </c>
      <c r="AU26" s="548">
        <f t="shared" ca="1" si="17"/>
        <v>115</v>
      </c>
      <c r="AW26" s="292">
        <f t="shared" ca="1" si="14"/>
        <v>102</v>
      </c>
      <c r="AX26" s="548">
        <f t="shared" ca="1" si="18"/>
        <v>120</v>
      </c>
    </row>
    <row r="27" spans="3:50" s="30" customFormat="1" ht="18.75" x14ac:dyDescent="0.3">
      <c r="C27" s="302"/>
      <c r="D27" s="302"/>
      <c r="E27" s="30" t="str">
        <f t="shared" si="19"/>
        <v xml:space="preserve"> </v>
      </c>
      <c r="F27" s="31" t="str">
        <f t="shared" si="20"/>
        <v xml:space="preserve"> </v>
      </c>
      <c r="G27" s="545"/>
      <c r="K27" s="522" t="str">
        <f t="shared" si="8"/>
        <v xml:space="preserve"> </v>
      </c>
      <c r="L27" s="252" t="str">
        <f t="shared" si="9"/>
        <v xml:space="preserve"> </v>
      </c>
      <c r="M27" s="252" t="str">
        <f t="shared" si="10"/>
        <v xml:space="preserve"> </v>
      </c>
      <c r="N27" s="252" t="str">
        <f t="shared" si="11"/>
        <v xml:space="preserve"> </v>
      </c>
      <c r="O27" s="252" t="str">
        <f t="shared" si="12"/>
        <v xml:space="preserve"> </v>
      </c>
      <c r="P27" s="252" t="str">
        <f t="shared" si="13"/>
        <v xml:space="preserve"> </v>
      </c>
      <c r="AQ27" s="292">
        <f t="shared" ca="1" si="14"/>
        <v>102</v>
      </c>
      <c r="AR27" s="456">
        <f t="shared" ca="1" si="21"/>
        <v>104</v>
      </c>
      <c r="AS27" s="414">
        <f t="shared" ca="1" si="15"/>
        <v>108</v>
      </c>
      <c r="AT27" s="528">
        <f t="shared" ca="1" si="16"/>
        <v>114</v>
      </c>
      <c r="AU27" s="548">
        <f t="shared" ca="1" si="17"/>
        <v>125</v>
      </c>
      <c r="AW27" s="292">
        <f t="shared" ca="1" si="14"/>
        <v>95</v>
      </c>
      <c r="AX27" s="548">
        <f t="shared" ca="1" si="18"/>
        <v>118</v>
      </c>
    </row>
    <row r="28" spans="3:50" s="30" customFormat="1" ht="18.75" x14ac:dyDescent="0.3">
      <c r="C28" s="302"/>
      <c r="D28" s="302"/>
      <c r="E28" s="30" t="str">
        <f t="shared" si="19"/>
        <v xml:space="preserve"> </v>
      </c>
      <c r="F28" s="31" t="str">
        <f t="shared" si="20"/>
        <v xml:space="preserve"> </v>
      </c>
      <c r="G28" s="545"/>
      <c r="K28" s="522" t="str">
        <f t="shared" si="8"/>
        <v xml:space="preserve"> </v>
      </c>
      <c r="L28" s="252" t="str">
        <f t="shared" si="9"/>
        <v xml:space="preserve"> </v>
      </c>
      <c r="M28" s="252" t="str">
        <f t="shared" si="10"/>
        <v xml:space="preserve"> </v>
      </c>
      <c r="N28" s="252" t="str">
        <f t="shared" si="11"/>
        <v xml:space="preserve"> </v>
      </c>
      <c r="O28" s="252" t="str">
        <f t="shared" si="12"/>
        <v xml:space="preserve"> </v>
      </c>
      <c r="P28" s="252" t="str">
        <f t="shared" si="13"/>
        <v xml:space="preserve"> </v>
      </c>
      <c r="AQ28" s="292">
        <f t="shared" ca="1" si="14"/>
        <v>98</v>
      </c>
      <c r="AR28" s="456">
        <f t="shared" ca="1" si="21"/>
        <v>102</v>
      </c>
      <c r="AS28" s="414">
        <f t="shared" ca="1" si="15"/>
        <v>112</v>
      </c>
      <c r="AT28" s="528">
        <f t="shared" ca="1" si="16"/>
        <v>114</v>
      </c>
      <c r="AU28" s="548">
        <f t="shared" ca="1" si="17"/>
        <v>122</v>
      </c>
      <c r="AW28" s="292">
        <f t="shared" ca="1" si="14"/>
        <v>100</v>
      </c>
      <c r="AX28" s="548">
        <f t="shared" ca="1" si="18"/>
        <v>115</v>
      </c>
    </row>
    <row r="29" spans="3:50" s="30" customFormat="1" ht="18.75" x14ac:dyDescent="0.3">
      <c r="C29" s="302"/>
      <c r="D29" s="302"/>
      <c r="E29" s="30" t="str">
        <f t="shared" si="19"/>
        <v xml:space="preserve"> </v>
      </c>
      <c r="F29" s="31" t="str">
        <f t="shared" si="20"/>
        <v xml:space="preserve"> </v>
      </c>
      <c r="G29" s="545"/>
      <c r="K29" s="522" t="str">
        <f t="shared" si="8"/>
        <v xml:space="preserve"> </v>
      </c>
      <c r="L29" s="252" t="str">
        <f t="shared" si="9"/>
        <v xml:space="preserve"> </v>
      </c>
      <c r="M29" s="252" t="str">
        <f t="shared" si="10"/>
        <v xml:space="preserve"> </v>
      </c>
      <c r="N29" s="252" t="str">
        <f t="shared" si="11"/>
        <v xml:space="preserve"> </v>
      </c>
      <c r="O29" s="252" t="str">
        <f t="shared" si="12"/>
        <v xml:space="preserve"> </v>
      </c>
      <c r="P29" s="252" t="str">
        <f t="shared" si="13"/>
        <v xml:space="preserve"> </v>
      </c>
      <c r="AQ29" s="292">
        <f t="shared" ca="1" si="14"/>
        <v>96</v>
      </c>
      <c r="AR29" s="456">
        <f t="shared" ca="1" si="21"/>
        <v>107</v>
      </c>
      <c r="AS29" s="414">
        <f t="shared" ca="1" si="15"/>
        <v>107</v>
      </c>
      <c r="AT29" s="528">
        <f t="shared" ca="1" si="16"/>
        <v>120</v>
      </c>
      <c r="AU29" s="548">
        <f t="shared" ca="1" si="17"/>
        <v>117</v>
      </c>
      <c r="AW29" s="292">
        <f t="shared" ca="1" si="14"/>
        <v>98</v>
      </c>
      <c r="AX29" s="548">
        <f t="shared" ca="1" si="18"/>
        <v>116</v>
      </c>
    </row>
    <row r="30" spans="3:50" s="30" customFormat="1" ht="18.75" x14ac:dyDescent="0.3">
      <c r="C30" s="302"/>
      <c r="D30" s="302"/>
      <c r="E30" s="30" t="str">
        <f t="shared" si="19"/>
        <v xml:space="preserve"> </v>
      </c>
      <c r="F30" s="31" t="str">
        <f t="shared" si="20"/>
        <v xml:space="preserve"> </v>
      </c>
      <c r="G30" s="545"/>
      <c r="K30" s="522" t="str">
        <f t="shared" si="8"/>
        <v xml:space="preserve"> </v>
      </c>
      <c r="L30" s="252" t="str">
        <f t="shared" si="9"/>
        <v xml:space="preserve"> </v>
      </c>
      <c r="M30" s="252" t="str">
        <f t="shared" si="10"/>
        <v xml:space="preserve"> </v>
      </c>
      <c r="N30" s="252" t="str">
        <f t="shared" si="11"/>
        <v xml:space="preserve"> </v>
      </c>
      <c r="O30" s="252" t="str">
        <f t="shared" si="12"/>
        <v xml:space="preserve"> </v>
      </c>
      <c r="P30" s="252" t="str">
        <f t="shared" si="13"/>
        <v xml:space="preserve"> </v>
      </c>
      <c r="AQ30" s="292">
        <f t="shared" ca="1" si="14"/>
        <v>98</v>
      </c>
      <c r="AR30" s="456">
        <f t="shared" ca="1" si="21"/>
        <v>105</v>
      </c>
      <c r="AS30" s="414">
        <f t="shared" ca="1" si="15"/>
        <v>111</v>
      </c>
      <c r="AT30" s="528">
        <f t="shared" ca="1" si="16"/>
        <v>116</v>
      </c>
      <c r="AU30" s="548">
        <f t="shared" ca="1" si="17"/>
        <v>116</v>
      </c>
      <c r="AW30" s="292">
        <f t="shared" ca="1" si="14"/>
        <v>95</v>
      </c>
      <c r="AX30" s="548">
        <f t="shared" ca="1" si="18"/>
        <v>116</v>
      </c>
    </row>
    <row r="31" spans="3:50" s="30" customFormat="1" ht="18.75" x14ac:dyDescent="0.3">
      <c r="C31" s="302"/>
      <c r="D31" s="302"/>
      <c r="E31" s="30" t="str">
        <f t="shared" si="19"/>
        <v xml:space="preserve"> </v>
      </c>
      <c r="F31" s="31" t="str">
        <f t="shared" si="20"/>
        <v xml:space="preserve"> </v>
      </c>
      <c r="G31" s="545"/>
      <c r="K31" s="522" t="str">
        <f t="shared" si="8"/>
        <v xml:space="preserve"> </v>
      </c>
      <c r="L31" s="252" t="str">
        <f t="shared" si="9"/>
        <v xml:space="preserve"> </v>
      </c>
      <c r="M31" s="252" t="str">
        <f t="shared" si="10"/>
        <v xml:space="preserve"> </v>
      </c>
      <c r="N31" s="252" t="str">
        <f t="shared" si="11"/>
        <v xml:space="preserve"> </v>
      </c>
      <c r="O31" s="252" t="str">
        <f t="shared" si="12"/>
        <v xml:space="preserve"> </v>
      </c>
      <c r="P31" s="252" t="str">
        <f t="shared" si="13"/>
        <v xml:space="preserve"> </v>
      </c>
      <c r="AQ31" s="292">
        <f t="shared" ca="1" si="14"/>
        <v>99</v>
      </c>
      <c r="AR31" s="456">
        <f t="shared" ca="1" si="21"/>
        <v>107</v>
      </c>
      <c r="AS31" s="414">
        <f t="shared" ca="1" si="15"/>
        <v>105</v>
      </c>
      <c r="AT31" s="528">
        <f t="shared" ca="1" si="16"/>
        <v>117</v>
      </c>
      <c r="AU31" s="548">
        <f t="shared" ca="1" si="17"/>
        <v>116</v>
      </c>
      <c r="AW31" s="292">
        <f t="shared" ca="1" si="14"/>
        <v>105</v>
      </c>
      <c r="AX31" s="548">
        <f t="shared" ca="1" si="18"/>
        <v>121</v>
      </c>
    </row>
    <row r="32" spans="3:50" s="30" customFormat="1" ht="18.75" x14ac:dyDescent="0.3">
      <c r="C32" s="302"/>
      <c r="D32" s="302"/>
      <c r="E32" s="30" t="str">
        <f t="shared" si="19"/>
        <v xml:space="preserve"> </v>
      </c>
      <c r="F32" s="31" t="str">
        <f t="shared" si="20"/>
        <v xml:space="preserve"> </v>
      </c>
      <c r="G32" s="545"/>
      <c r="K32" s="522" t="str">
        <f t="shared" si="8"/>
        <v xml:space="preserve"> </v>
      </c>
      <c r="L32" s="252" t="str">
        <f t="shared" si="9"/>
        <v xml:space="preserve"> </v>
      </c>
      <c r="M32" s="252" t="str">
        <f t="shared" si="10"/>
        <v xml:space="preserve"> </v>
      </c>
      <c r="N32" s="252" t="str">
        <f t="shared" si="11"/>
        <v xml:space="preserve"> </v>
      </c>
      <c r="O32" s="252" t="str">
        <f t="shared" si="12"/>
        <v xml:space="preserve"> </v>
      </c>
      <c r="P32" s="252" t="str">
        <f t="shared" si="13"/>
        <v xml:space="preserve"> </v>
      </c>
      <c r="AQ32" s="292">
        <f t="shared" ca="1" si="14"/>
        <v>95</v>
      </c>
      <c r="AR32" s="456">
        <f t="shared" ca="1" si="21"/>
        <v>107</v>
      </c>
      <c r="AS32" s="414">
        <f t="shared" ca="1" si="15"/>
        <v>113</v>
      </c>
      <c r="AT32" s="528">
        <f t="shared" ca="1" si="16"/>
        <v>110</v>
      </c>
      <c r="AU32" s="548">
        <f t="shared" ca="1" si="17"/>
        <v>118</v>
      </c>
      <c r="AW32" s="292">
        <f t="shared" ca="1" si="14"/>
        <v>101</v>
      </c>
      <c r="AX32" s="548">
        <f t="shared" ca="1" si="18"/>
        <v>121</v>
      </c>
    </row>
    <row r="33" spans="2:50" s="30" customFormat="1" ht="18.75" x14ac:dyDescent="0.3">
      <c r="C33" s="302"/>
      <c r="D33" s="302"/>
      <c r="E33" s="30" t="str">
        <f t="shared" si="19"/>
        <v xml:space="preserve"> </v>
      </c>
      <c r="F33" s="31" t="str">
        <f t="shared" si="20"/>
        <v xml:space="preserve"> </v>
      </c>
      <c r="G33" s="545"/>
      <c r="K33" s="522" t="str">
        <f t="shared" si="8"/>
        <v xml:space="preserve"> </v>
      </c>
      <c r="L33" s="252" t="str">
        <f t="shared" si="9"/>
        <v xml:space="preserve"> </v>
      </c>
      <c r="M33" s="252" t="str">
        <f t="shared" si="10"/>
        <v xml:space="preserve"> </v>
      </c>
      <c r="N33" s="252" t="str">
        <f t="shared" si="11"/>
        <v xml:space="preserve"> </v>
      </c>
      <c r="O33" s="252" t="str">
        <f t="shared" si="12"/>
        <v xml:space="preserve"> </v>
      </c>
      <c r="P33" s="252" t="str">
        <f t="shared" si="13"/>
        <v xml:space="preserve"> </v>
      </c>
      <c r="AQ33" s="292">
        <f t="shared" ca="1" si="14"/>
        <v>102</v>
      </c>
      <c r="AR33" s="456">
        <f t="shared" ca="1" si="21"/>
        <v>103</v>
      </c>
      <c r="AS33" s="414">
        <f t="shared" ca="1" si="15"/>
        <v>107</v>
      </c>
      <c r="AT33" s="528">
        <f t="shared" ca="1" si="16"/>
        <v>113</v>
      </c>
      <c r="AU33" s="548">
        <f t="shared" ca="1" si="17"/>
        <v>125</v>
      </c>
      <c r="AW33" s="292">
        <f t="shared" ca="1" si="14"/>
        <v>96</v>
      </c>
      <c r="AX33" s="548">
        <f t="shared" ca="1" si="18"/>
        <v>118</v>
      </c>
    </row>
    <row r="34" spans="2:50" s="30" customFormat="1" ht="18.75" x14ac:dyDescent="0.3">
      <c r="C34" s="302"/>
      <c r="D34" s="302"/>
      <c r="E34" s="30" t="str">
        <f t="shared" si="19"/>
        <v xml:space="preserve"> </v>
      </c>
      <c r="F34" s="31" t="str">
        <f t="shared" si="20"/>
        <v xml:space="preserve"> </v>
      </c>
      <c r="G34" s="545"/>
      <c r="K34" s="522" t="str">
        <f t="shared" si="8"/>
        <v xml:space="preserve"> </v>
      </c>
      <c r="L34" s="252" t="str">
        <f t="shared" si="9"/>
        <v xml:space="preserve"> </v>
      </c>
      <c r="M34" s="252" t="str">
        <f t="shared" si="10"/>
        <v xml:space="preserve"> </v>
      </c>
      <c r="N34" s="252" t="str">
        <f t="shared" si="11"/>
        <v xml:space="preserve"> </v>
      </c>
      <c r="O34" s="252" t="str">
        <f t="shared" si="12"/>
        <v xml:space="preserve"> </v>
      </c>
      <c r="P34" s="252" t="str">
        <f t="shared" si="13"/>
        <v xml:space="preserve"> </v>
      </c>
      <c r="AQ34" s="292">
        <f t="shared" ca="1" si="14"/>
        <v>104</v>
      </c>
      <c r="AR34" s="456">
        <f t="shared" ca="1" si="21"/>
        <v>110</v>
      </c>
      <c r="AS34" s="414">
        <f t="shared" ca="1" si="15"/>
        <v>106</v>
      </c>
      <c r="AT34" s="528">
        <f t="shared" ca="1" si="16"/>
        <v>114</v>
      </c>
      <c r="AU34" s="548">
        <f t="shared" ca="1" si="17"/>
        <v>117</v>
      </c>
      <c r="AW34" s="292">
        <f t="shared" ca="1" si="14"/>
        <v>97</v>
      </c>
      <c r="AX34" s="548">
        <f t="shared" ca="1" si="18"/>
        <v>117</v>
      </c>
    </row>
    <row r="35" spans="2:50" s="30" customFormat="1" ht="18.75" x14ac:dyDescent="0.3">
      <c r="C35" s="302"/>
      <c r="D35" s="302"/>
      <c r="E35" s="30" t="str">
        <f t="shared" si="19"/>
        <v xml:space="preserve"> </v>
      </c>
      <c r="F35" s="31" t="str">
        <f t="shared" si="20"/>
        <v xml:space="preserve"> </v>
      </c>
      <c r="G35" s="545"/>
      <c r="K35" s="522" t="str">
        <f t="shared" si="8"/>
        <v xml:space="preserve"> </v>
      </c>
      <c r="L35" s="252" t="str">
        <f t="shared" si="9"/>
        <v xml:space="preserve"> </v>
      </c>
      <c r="M35" s="252" t="str">
        <f t="shared" si="10"/>
        <v xml:space="preserve"> </v>
      </c>
      <c r="N35" s="252" t="str">
        <f t="shared" si="11"/>
        <v xml:space="preserve"> </v>
      </c>
      <c r="O35" s="252" t="str">
        <f t="shared" si="12"/>
        <v xml:space="preserve"> </v>
      </c>
      <c r="P35" s="252" t="str">
        <f t="shared" si="13"/>
        <v xml:space="preserve"> </v>
      </c>
      <c r="AQ35" s="292">
        <f t="shared" ca="1" si="14"/>
        <v>103</v>
      </c>
      <c r="AR35" s="456">
        <f t="shared" ca="1" si="21"/>
        <v>110</v>
      </c>
      <c r="AS35" s="414">
        <f t="shared" ca="1" si="15"/>
        <v>109</v>
      </c>
      <c r="AT35" s="528">
        <f t="shared" ca="1" si="16"/>
        <v>110</v>
      </c>
      <c r="AU35" s="548">
        <f t="shared" ca="1" si="17"/>
        <v>115</v>
      </c>
      <c r="AW35" s="292">
        <f t="shared" ca="1" si="14"/>
        <v>98</v>
      </c>
      <c r="AX35" s="548">
        <f t="shared" ca="1" si="18"/>
        <v>121</v>
      </c>
    </row>
    <row r="36" spans="2:50" s="30" customFormat="1" ht="18.75" x14ac:dyDescent="0.3">
      <c r="C36" s="302"/>
      <c r="D36" s="302"/>
      <c r="E36" s="30" t="str">
        <f t="shared" si="19"/>
        <v xml:space="preserve"> </v>
      </c>
      <c r="F36" s="31" t="str">
        <f t="shared" si="20"/>
        <v xml:space="preserve"> </v>
      </c>
      <c r="G36" s="545"/>
      <c r="K36" s="522" t="str">
        <f t="shared" si="8"/>
        <v xml:space="preserve"> </v>
      </c>
      <c r="L36" s="252" t="str">
        <f t="shared" si="9"/>
        <v xml:space="preserve"> </v>
      </c>
      <c r="M36" s="252" t="str">
        <f t="shared" si="10"/>
        <v xml:space="preserve"> </v>
      </c>
      <c r="N36" s="252" t="str">
        <f t="shared" si="11"/>
        <v xml:space="preserve"> </v>
      </c>
      <c r="O36" s="252" t="str">
        <f t="shared" si="12"/>
        <v xml:space="preserve"> </v>
      </c>
      <c r="P36" s="252" t="str">
        <f t="shared" si="13"/>
        <v xml:space="preserve"> </v>
      </c>
      <c r="AQ36" s="292">
        <f t="shared" ca="1" si="14"/>
        <v>101</v>
      </c>
      <c r="AR36" s="456">
        <f t="shared" ca="1" si="21"/>
        <v>103</v>
      </c>
      <c r="AS36" s="414">
        <f t="shared" ca="1" si="15"/>
        <v>112</v>
      </c>
      <c r="AT36" s="528">
        <f t="shared" ca="1" si="16"/>
        <v>114</v>
      </c>
      <c r="AU36" s="548">
        <f t="shared" ca="1" si="17"/>
        <v>120</v>
      </c>
      <c r="AW36" s="292">
        <f t="shared" ca="1" si="14"/>
        <v>103</v>
      </c>
      <c r="AX36" s="548">
        <f t="shared" ca="1" si="18"/>
        <v>124</v>
      </c>
    </row>
    <row r="37" spans="2:50" s="30" customFormat="1" ht="18.75" x14ac:dyDescent="0.3">
      <c r="C37" s="302"/>
      <c r="D37" s="302"/>
      <c r="E37" s="30" t="str">
        <f t="shared" si="19"/>
        <v xml:space="preserve"> </v>
      </c>
      <c r="F37" s="31" t="str">
        <f t="shared" si="20"/>
        <v xml:space="preserve"> </v>
      </c>
      <c r="G37" s="545"/>
      <c r="K37" s="522" t="str">
        <f t="shared" si="8"/>
        <v xml:space="preserve"> </v>
      </c>
      <c r="L37" s="252" t="str">
        <f t="shared" si="9"/>
        <v xml:space="preserve"> </v>
      </c>
      <c r="M37" s="252" t="str">
        <f t="shared" si="10"/>
        <v xml:space="preserve"> </v>
      </c>
      <c r="N37" s="252" t="str">
        <f t="shared" si="11"/>
        <v xml:space="preserve"> </v>
      </c>
      <c r="O37" s="252" t="str">
        <f t="shared" si="12"/>
        <v xml:space="preserve"> </v>
      </c>
      <c r="P37" s="252" t="str">
        <f t="shared" si="13"/>
        <v xml:space="preserve"> </v>
      </c>
      <c r="AQ37" s="292">
        <f t="shared" ca="1" si="14"/>
        <v>105</v>
      </c>
      <c r="AR37" s="456">
        <f t="shared" ca="1" si="21"/>
        <v>106</v>
      </c>
      <c r="AS37" s="414">
        <f t="shared" ca="1" si="15"/>
        <v>112</v>
      </c>
      <c r="AT37" s="528">
        <f t="shared" ca="1" si="16"/>
        <v>115</v>
      </c>
      <c r="AU37" s="548">
        <f t="shared" ca="1" si="17"/>
        <v>118</v>
      </c>
      <c r="AW37" s="292">
        <f t="shared" ca="1" si="14"/>
        <v>103</v>
      </c>
      <c r="AX37" s="548">
        <f t="shared" ca="1" si="18"/>
        <v>125</v>
      </c>
    </row>
    <row r="38" spans="2:50" s="30" customFormat="1" ht="18.75" x14ac:dyDescent="0.3">
      <c r="C38" s="302"/>
      <c r="D38" s="302"/>
      <c r="E38" s="30" t="str">
        <f t="shared" si="19"/>
        <v xml:space="preserve"> </v>
      </c>
      <c r="F38" s="31" t="str">
        <f t="shared" si="20"/>
        <v xml:space="preserve"> </v>
      </c>
      <c r="G38" s="545"/>
      <c r="K38" s="522" t="str">
        <f t="shared" si="8"/>
        <v xml:space="preserve"> </v>
      </c>
      <c r="L38" s="252" t="str">
        <f t="shared" si="9"/>
        <v xml:space="preserve"> </v>
      </c>
      <c r="M38" s="252" t="str">
        <f t="shared" si="10"/>
        <v xml:space="preserve"> </v>
      </c>
      <c r="N38" s="252" t="str">
        <f t="shared" si="11"/>
        <v xml:space="preserve"> </v>
      </c>
      <c r="O38" s="252" t="str">
        <f t="shared" si="12"/>
        <v xml:space="preserve"> </v>
      </c>
      <c r="P38" s="252" t="str">
        <f t="shared" si="13"/>
        <v xml:space="preserve"> </v>
      </c>
      <c r="AQ38" s="292">
        <f t="shared" ca="1" si="14"/>
        <v>101</v>
      </c>
      <c r="AR38" s="456">
        <f t="shared" ca="1" si="21"/>
        <v>100</v>
      </c>
      <c r="AS38" s="414">
        <f t="shared" ca="1" si="15"/>
        <v>110</v>
      </c>
      <c r="AT38" s="528">
        <f t="shared" ca="1" si="16"/>
        <v>115</v>
      </c>
      <c r="AU38" s="548">
        <f t="shared" ca="1" si="17"/>
        <v>124</v>
      </c>
      <c r="AW38" s="292">
        <f t="shared" ca="1" si="14"/>
        <v>105</v>
      </c>
      <c r="AX38" s="548">
        <f t="shared" ca="1" si="18"/>
        <v>118</v>
      </c>
    </row>
    <row r="39" spans="2:50" s="30" customFormat="1" ht="18.75" x14ac:dyDescent="0.3">
      <c r="C39" s="302"/>
      <c r="D39" s="302"/>
      <c r="E39" s="30" t="str">
        <f t="shared" si="19"/>
        <v xml:space="preserve"> </v>
      </c>
      <c r="F39" s="31" t="str">
        <f t="shared" si="20"/>
        <v xml:space="preserve"> </v>
      </c>
      <c r="G39" s="545"/>
      <c r="K39" s="522" t="str">
        <f t="shared" si="8"/>
        <v xml:space="preserve"> </v>
      </c>
      <c r="L39" s="252" t="str">
        <f t="shared" si="9"/>
        <v xml:space="preserve"> </v>
      </c>
      <c r="M39" s="252" t="str">
        <f t="shared" si="10"/>
        <v xml:space="preserve"> </v>
      </c>
      <c r="N39" s="252" t="str">
        <f t="shared" si="11"/>
        <v xml:space="preserve"> </v>
      </c>
      <c r="O39" s="252" t="str">
        <f t="shared" si="12"/>
        <v xml:space="preserve"> </v>
      </c>
      <c r="P39" s="252" t="str">
        <f t="shared" si="13"/>
        <v xml:space="preserve"> </v>
      </c>
      <c r="AQ39" s="292">
        <f t="shared" ca="1" si="14"/>
        <v>105</v>
      </c>
      <c r="AR39" s="456">
        <f t="shared" ca="1" si="21"/>
        <v>101</v>
      </c>
      <c r="AS39" s="414">
        <f t="shared" ca="1" si="15"/>
        <v>106</v>
      </c>
      <c r="AT39" s="528">
        <f t="shared" ca="1" si="16"/>
        <v>114</v>
      </c>
      <c r="AU39" s="548">
        <f t="shared" ca="1" si="17"/>
        <v>125</v>
      </c>
      <c r="AW39" s="292">
        <f t="shared" ca="1" si="14"/>
        <v>100</v>
      </c>
      <c r="AX39" s="548">
        <f t="shared" ca="1" si="18"/>
        <v>122</v>
      </c>
    </row>
    <row r="40" spans="2:50" s="30" customFormat="1" ht="18.75" x14ac:dyDescent="0.3">
      <c r="C40" s="302"/>
      <c r="D40" s="302"/>
      <c r="E40" s="30" t="str">
        <f t="shared" si="19"/>
        <v xml:space="preserve"> </v>
      </c>
      <c r="F40" s="31" t="str">
        <f t="shared" si="20"/>
        <v xml:space="preserve"> </v>
      </c>
      <c r="G40" s="545"/>
      <c r="K40" s="522" t="str">
        <f t="shared" si="8"/>
        <v xml:space="preserve"> </v>
      </c>
      <c r="L40" s="252" t="str">
        <f t="shared" si="9"/>
        <v xml:space="preserve"> </v>
      </c>
      <c r="M40" s="252" t="str">
        <f t="shared" si="10"/>
        <v xml:space="preserve"> </v>
      </c>
      <c r="N40" s="252" t="str">
        <f t="shared" si="11"/>
        <v xml:space="preserve"> </v>
      </c>
      <c r="O40" s="252" t="str">
        <f t="shared" si="12"/>
        <v xml:space="preserve"> </v>
      </c>
      <c r="P40" s="252" t="str">
        <f t="shared" si="13"/>
        <v xml:space="preserve"> </v>
      </c>
      <c r="AQ40" s="292">
        <f t="shared" ca="1" si="14"/>
        <v>102</v>
      </c>
      <c r="AR40" s="456">
        <f t="shared" ca="1" si="21"/>
        <v>109</v>
      </c>
      <c r="AS40" s="414">
        <f t="shared" ca="1" si="15"/>
        <v>113</v>
      </c>
      <c r="AT40" s="528">
        <f t="shared" ca="1" si="16"/>
        <v>120</v>
      </c>
      <c r="AU40" s="548">
        <f t="shared" ca="1" si="17"/>
        <v>116</v>
      </c>
      <c r="AW40" s="292">
        <f t="shared" ca="1" si="14"/>
        <v>99</v>
      </c>
      <c r="AX40" s="548">
        <f t="shared" ca="1" si="18"/>
        <v>123</v>
      </c>
    </row>
    <row r="41" spans="2:50" ht="18.75" x14ac:dyDescent="0.3">
      <c r="C41" s="302"/>
      <c r="D41" s="302"/>
      <c r="E41" s="30" t="str">
        <f t="shared" si="19"/>
        <v xml:space="preserve"> </v>
      </c>
      <c r="F41" s="31" t="str">
        <f t="shared" si="20"/>
        <v xml:space="preserve"> </v>
      </c>
      <c r="G41" s="545"/>
      <c r="I41" s="30"/>
      <c r="J41" s="30"/>
      <c r="K41" s="522" t="str">
        <f t="shared" si="8"/>
        <v xml:space="preserve"> </v>
      </c>
      <c r="L41" s="252" t="str">
        <f t="shared" si="9"/>
        <v xml:space="preserve"> </v>
      </c>
      <c r="M41" s="252" t="str">
        <f t="shared" si="10"/>
        <v xml:space="preserve"> </v>
      </c>
      <c r="N41" s="252" t="str">
        <f t="shared" si="11"/>
        <v xml:space="preserve"> </v>
      </c>
      <c r="O41" s="252" t="str">
        <f t="shared" si="12"/>
        <v xml:space="preserve"> </v>
      </c>
      <c r="P41" s="252" t="str">
        <f t="shared" si="13"/>
        <v xml:space="preserve"> </v>
      </c>
      <c r="T41" s="25"/>
      <c r="U41" s="30"/>
      <c r="V41" s="30"/>
      <c r="W41" s="30"/>
      <c r="AL41" s="30"/>
      <c r="AM41" s="30"/>
      <c r="AN41" s="30"/>
      <c r="AO41" s="30"/>
      <c r="AQ41" s="292">
        <f t="shared" ca="1" si="14"/>
        <v>103</v>
      </c>
      <c r="AR41" s="456">
        <f t="shared" ca="1" si="21"/>
        <v>106</v>
      </c>
      <c r="AS41" s="414">
        <f t="shared" ca="1" si="15"/>
        <v>105</v>
      </c>
      <c r="AT41" s="528">
        <f t="shared" ca="1" si="16"/>
        <v>115</v>
      </c>
      <c r="AU41" s="548">
        <f t="shared" ca="1" si="17"/>
        <v>120</v>
      </c>
      <c r="AW41" s="292">
        <f t="shared" ca="1" si="14"/>
        <v>105</v>
      </c>
      <c r="AX41" s="548">
        <f t="shared" ca="1" si="18"/>
        <v>115</v>
      </c>
    </row>
    <row r="42" spans="2:50" ht="18.75" x14ac:dyDescent="0.3">
      <c r="C42" s="302"/>
      <c r="D42" s="302"/>
      <c r="E42" s="30" t="str">
        <f t="shared" si="19"/>
        <v xml:space="preserve"> </v>
      </c>
      <c r="F42" s="31" t="str">
        <f t="shared" si="20"/>
        <v xml:space="preserve"> </v>
      </c>
      <c r="G42" s="545"/>
      <c r="I42" s="30"/>
      <c r="J42" s="30"/>
      <c r="K42" s="522" t="str">
        <f t="shared" si="8"/>
        <v xml:space="preserve"> </v>
      </c>
      <c r="L42" s="252" t="str">
        <f t="shared" si="9"/>
        <v xml:space="preserve"> </v>
      </c>
      <c r="M42" s="252" t="str">
        <f t="shared" si="10"/>
        <v xml:space="preserve"> </v>
      </c>
      <c r="N42" s="252" t="str">
        <f t="shared" si="11"/>
        <v xml:space="preserve"> </v>
      </c>
      <c r="O42" s="252" t="str">
        <f t="shared" si="12"/>
        <v xml:space="preserve"> </v>
      </c>
      <c r="P42" s="252" t="str">
        <f t="shared" si="13"/>
        <v xml:space="preserve"> </v>
      </c>
      <c r="U42" s="30"/>
      <c r="V42" s="30"/>
      <c r="W42" s="30"/>
      <c r="AL42" s="30"/>
      <c r="AM42" s="30"/>
      <c r="AN42" s="30"/>
      <c r="AO42" s="30"/>
      <c r="AQ42" s="292">
        <f t="shared" ca="1" si="14"/>
        <v>105</v>
      </c>
      <c r="AR42" s="456">
        <f t="shared" ca="1" si="21"/>
        <v>110</v>
      </c>
      <c r="AS42" s="414">
        <f t="shared" ca="1" si="15"/>
        <v>108</v>
      </c>
      <c r="AT42" s="528">
        <f t="shared" ca="1" si="16"/>
        <v>117</v>
      </c>
      <c r="AU42" s="548">
        <f t="shared" ca="1" si="17"/>
        <v>123</v>
      </c>
      <c r="AW42" s="292">
        <f t="shared" ca="1" si="14"/>
        <v>101</v>
      </c>
      <c r="AX42" s="548">
        <f t="shared" ca="1" si="18"/>
        <v>117</v>
      </c>
    </row>
    <row r="43" spans="2:50" ht="18.75" x14ac:dyDescent="0.3">
      <c r="C43" s="302"/>
      <c r="D43" s="302"/>
      <c r="E43" s="30" t="str">
        <f t="shared" si="19"/>
        <v xml:space="preserve"> </v>
      </c>
      <c r="F43" s="31" t="str">
        <f t="shared" si="20"/>
        <v xml:space="preserve"> </v>
      </c>
      <c r="G43" s="545"/>
      <c r="I43" s="30"/>
      <c r="J43" s="30"/>
      <c r="K43" s="522" t="str">
        <f t="shared" si="8"/>
        <v xml:space="preserve"> </v>
      </c>
      <c r="L43" s="252" t="str">
        <f t="shared" si="9"/>
        <v xml:space="preserve"> </v>
      </c>
      <c r="M43" s="252" t="str">
        <f t="shared" si="10"/>
        <v xml:space="preserve"> </v>
      </c>
      <c r="N43" s="252" t="str">
        <f t="shared" si="11"/>
        <v xml:space="preserve"> </v>
      </c>
      <c r="O43" s="252" t="str">
        <f t="shared" si="12"/>
        <v xml:space="preserve"> </v>
      </c>
      <c r="P43" s="252" t="str">
        <f t="shared" si="13"/>
        <v xml:space="preserve"> </v>
      </c>
      <c r="U43" s="25"/>
      <c r="AQ43" s="292">
        <f t="shared" ca="1" si="14"/>
        <v>96</v>
      </c>
      <c r="AR43" s="456">
        <f t="shared" ca="1" si="21"/>
        <v>110</v>
      </c>
      <c r="AS43" s="414">
        <f t="shared" ca="1" si="15"/>
        <v>108</v>
      </c>
      <c r="AT43" s="528">
        <f t="shared" ca="1" si="16"/>
        <v>114</v>
      </c>
      <c r="AU43" s="548">
        <f t="shared" ca="1" si="17"/>
        <v>115</v>
      </c>
      <c r="AW43" s="292">
        <f t="shared" ca="1" si="14"/>
        <v>103</v>
      </c>
      <c r="AX43" s="548">
        <f t="shared" ca="1" si="18"/>
        <v>123</v>
      </c>
    </row>
    <row r="44" spans="2:50" ht="18.75" x14ac:dyDescent="0.3">
      <c r="C44" s="302"/>
      <c r="D44" s="302"/>
      <c r="E44" s="30" t="str">
        <f t="shared" si="19"/>
        <v xml:space="preserve"> </v>
      </c>
      <c r="F44" s="31" t="str">
        <f t="shared" si="20"/>
        <v xml:space="preserve"> </v>
      </c>
      <c r="G44" s="545"/>
      <c r="I44" s="30"/>
      <c r="J44" s="30"/>
      <c r="K44" s="522" t="str">
        <f t="shared" si="8"/>
        <v xml:space="preserve"> </v>
      </c>
      <c r="L44" s="252" t="str">
        <f t="shared" si="9"/>
        <v xml:space="preserve"> </v>
      </c>
      <c r="M44" s="252" t="str">
        <f t="shared" si="10"/>
        <v xml:space="preserve"> </v>
      </c>
      <c r="N44" s="252" t="str">
        <f t="shared" si="11"/>
        <v xml:space="preserve"> </v>
      </c>
      <c r="O44" s="252" t="str">
        <f t="shared" si="12"/>
        <v xml:space="preserve"> </v>
      </c>
      <c r="P44" s="252" t="str">
        <f t="shared" si="13"/>
        <v xml:space="preserve"> </v>
      </c>
      <c r="AQ44" s="292">
        <f t="shared" ca="1" si="14"/>
        <v>100</v>
      </c>
      <c r="AR44" s="456">
        <f t="shared" ca="1" si="21"/>
        <v>104</v>
      </c>
      <c r="AS44" s="414">
        <f t="shared" ca="1" si="15"/>
        <v>108</v>
      </c>
      <c r="AT44" s="528">
        <f t="shared" ca="1" si="16"/>
        <v>111</v>
      </c>
      <c r="AU44" s="548">
        <f t="shared" ca="1" si="17"/>
        <v>117</v>
      </c>
      <c r="AW44" s="292">
        <f t="shared" ca="1" si="14"/>
        <v>95</v>
      </c>
      <c r="AX44" s="548">
        <f t="shared" ca="1" si="18"/>
        <v>123</v>
      </c>
    </row>
    <row r="45" spans="2:50" ht="18.75" x14ac:dyDescent="0.3">
      <c r="B45" s="30"/>
      <c r="C45" s="284"/>
      <c r="D45" s="284"/>
      <c r="E45" s="284"/>
      <c r="F45" s="546"/>
      <c r="G45" s="284"/>
      <c r="I45" s="284">
        <f>COUNT(I5:I44)</f>
        <v>10</v>
      </c>
      <c r="J45" s="284">
        <f t="shared" ref="J45" si="22">COUNT(J5:J44)</f>
        <v>10</v>
      </c>
      <c r="K45" s="284">
        <f>I45 + J45</f>
        <v>20</v>
      </c>
      <c r="L45" s="284"/>
      <c r="M45" s="284"/>
      <c r="N45" s="284"/>
      <c r="O45" s="284">
        <f t="shared" ref="O45:P45" si="23">COUNT(O5:O44)</f>
        <v>10</v>
      </c>
      <c r="P45" s="284">
        <f t="shared" si="23"/>
        <v>10</v>
      </c>
      <c r="U45" s="286" t="s">
        <v>543</v>
      </c>
      <c r="V45" s="549"/>
      <c r="W45" s="549"/>
      <c r="X45" s="549"/>
      <c r="Y45" s="549"/>
      <c r="Z45" s="549"/>
      <c r="AA45" s="549"/>
      <c r="AB45" s="549"/>
      <c r="AC45" s="549"/>
      <c r="AD45" s="549"/>
      <c r="AE45" s="549"/>
      <c r="AF45" s="549"/>
      <c r="AP45" s="284" t="s">
        <v>33</v>
      </c>
      <c r="AQ45" s="551">
        <f ca="1">AVERAGE(AQ5:AQ44)</f>
        <v>100.3</v>
      </c>
      <c r="AR45" s="551">
        <f t="shared" ref="AR45:AU45" ca="1" si="24">AVERAGE(AR5:AR44)</f>
        <v>105.075</v>
      </c>
      <c r="AS45" s="551">
        <f t="shared" ca="1" si="24"/>
        <v>109.45</v>
      </c>
      <c r="AT45" s="551">
        <f t="shared" ca="1" si="24"/>
        <v>114.9</v>
      </c>
      <c r="AU45" s="551">
        <f t="shared" ca="1" si="24"/>
        <v>120.15</v>
      </c>
      <c r="AV45" s="549"/>
      <c r="AW45" s="551">
        <f ca="1">AVERAGE(AW5:AW44)</f>
        <v>100.65</v>
      </c>
      <c r="AX45" s="551">
        <f t="shared" ref="AX45" ca="1" si="25">AVERAGE(AX5:AX44)</f>
        <v>119.97499999999999</v>
      </c>
    </row>
    <row r="46" spans="2:50" ht="22.5" x14ac:dyDescent="0.45">
      <c r="B46" s="30"/>
      <c r="C46" s="36" t="s">
        <v>23</v>
      </c>
      <c r="D46" s="59">
        <f>COUNT(D5:D44) - 1</f>
        <v>9</v>
      </c>
      <c r="E46" s="500" t="s">
        <v>369</v>
      </c>
      <c r="F46" s="79">
        <f>SUM(F5:F44)</f>
        <v>19.398063457302587</v>
      </c>
      <c r="G46" t="s">
        <v>540</v>
      </c>
      <c r="I46" s="25">
        <f>SUM(I5:I44)</f>
        <v>1011</v>
      </c>
      <c r="J46" s="25">
        <f>SUM(J5:J44)</f>
        <v>1157</v>
      </c>
      <c r="K46" s="543">
        <f>SUM(K5:K44)</f>
        <v>2168</v>
      </c>
      <c r="L46" s="25"/>
      <c r="M46" s="25"/>
      <c r="N46" s="25"/>
      <c r="O46" s="25"/>
      <c r="P46" s="544">
        <f>SUM(P5:P44)</f>
        <v>4.6163142836283429E-2</v>
      </c>
      <c r="U46" s="30" t="s">
        <v>342</v>
      </c>
      <c r="V46" s="30"/>
      <c r="AP46" s="30" t="s">
        <v>541</v>
      </c>
      <c r="AQ46" s="252">
        <f ca="1">_xlfn.STDEV.S(AQ5:AQ44)</f>
        <v>3.1394920379593665</v>
      </c>
      <c r="AR46" s="252">
        <f t="shared" ref="AR46:AU46" ca="1" si="26">_xlfn.STDEV.S(AR5:AR44)</f>
        <v>3.1573073565286198</v>
      </c>
      <c r="AS46" s="252">
        <f t="shared" ca="1" si="26"/>
        <v>2.9608557321603279</v>
      </c>
      <c r="AT46" s="252">
        <f t="shared" ca="1" si="26"/>
        <v>2.9246959079272066</v>
      </c>
      <c r="AU46" s="252">
        <f t="shared" ca="1" si="26"/>
        <v>3.5413310549884534</v>
      </c>
      <c r="AW46" s="252">
        <f ca="1">_xlfn.STDEV.S(AW5:AW44)</f>
        <v>3.3630724658051028</v>
      </c>
      <c r="AX46" s="252">
        <f t="shared" ref="AX46" ca="1" si="27">_xlfn.STDEV.S(AX5:AX44)</f>
        <v>3.1904304026018435</v>
      </c>
    </row>
    <row r="47" spans="2:50" s="30" customFormat="1" ht="19.5" thickBot="1" x14ac:dyDescent="0.35">
      <c r="C47"/>
      <c r="D47"/>
      <c r="E47"/>
      <c r="F47"/>
      <c r="G47"/>
      <c r="H47"/>
      <c r="I47" s="25"/>
      <c r="J47" s="25"/>
      <c r="K47" s="25"/>
      <c r="L47" s="24"/>
      <c r="M47" s="26"/>
      <c r="O47" s="526" t="s">
        <v>23</v>
      </c>
      <c r="P47" s="529">
        <f>P45 - 1</f>
        <v>9</v>
      </c>
      <c r="Q47"/>
      <c r="R47"/>
      <c r="S47"/>
      <c r="T47"/>
      <c r="V47" s="30" t="s">
        <v>545</v>
      </c>
      <c r="W47"/>
      <c r="AL47"/>
      <c r="AM47"/>
      <c r="AN47"/>
      <c r="AO47"/>
      <c r="AP47" s="30" t="s">
        <v>542</v>
      </c>
      <c r="AQ47" s="550">
        <f t="shared" ref="AQ47:AU47" ca="1" si="28">_xlfn.VAR.S(AQ5:AQ44)</f>
        <v>9.8564102564102551</v>
      </c>
      <c r="AR47" s="550">
        <f t="shared" ca="1" si="28"/>
        <v>9.9685897435897424</v>
      </c>
      <c r="AS47" s="550">
        <f t="shared" ca="1" si="28"/>
        <v>8.766666666666671</v>
      </c>
      <c r="AT47" s="550">
        <f t="shared" ca="1" si="28"/>
        <v>8.5538461538461483</v>
      </c>
      <c r="AU47" s="550">
        <f t="shared" ca="1" si="28"/>
        <v>12.541025641025632</v>
      </c>
      <c r="AW47" s="550">
        <f t="shared" ref="AW47:AX47" ca="1" si="29">_xlfn.VAR.S(AW5:AW44)</f>
        <v>11.310256410256414</v>
      </c>
      <c r="AX47" s="550">
        <f t="shared" ca="1" si="29"/>
        <v>10.178846153846163</v>
      </c>
    </row>
    <row r="48" spans="2:50" s="30" customFormat="1" ht="21.75" thickBot="1" x14ac:dyDescent="0.4">
      <c r="C48" s="16"/>
      <c r="D48" s="585" t="s">
        <v>142</v>
      </c>
      <c r="E48" s="585"/>
      <c r="F48" s="586"/>
      <c r="G48"/>
      <c r="H48"/>
      <c r="Q48"/>
      <c r="R48"/>
      <c r="S48"/>
      <c r="T48"/>
      <c r="V48" s="30" t="s">
        <v>278</v>
      </c>
      <c r="AL48"/>
      <c r="AM48"/>
      <c r="AN48"/>
      <c r="AO48"/>
      <c r="AQ48"/>
      <c r="AR48"/>
      <c r="AS48"/>
      <c r="AT48"/>
      <c r="AU48"/>
      <c r="AW48"/>
      <c r="AX48"/>
    </row>
    <row r="49" spans="2:50" s="30" customFormat="1" ht="21" x14ac:dyDescent="0.3">
      <c r="C49" s="530" t="s">
        <v>23</v>
      </c>
      <c r="D49" s="124" t="s">
        <v>173</v>
      </c>
      <c r="E49" s="125" t="s">
        <v>174</v>
      </c>
      <c r="F49" s="126" t="s">
        <v>175</v>
      </c>
      <c r="G49"/>
      <c r="H49" s="542"/>
      <c r="I49" s="25">
        <v>1</v>
      </c>
      <c r="J49" s="522">
        <f>SUM(M5:N44)</f>
        <v>10164.965519546697</v>
      </c>
      <c r="K49" s="33" t="s">
        <v>162</v>
      </c>
      <c r="N49" s="56"/>
      <c r="O49" s="110"/>
      <c r="P49" s="110"/>
      <c r="Q49"/>
      <c r="R49"/>
      <c r="S49"/>
      <c r="T49"/>
      <c r="V49" s="30" t="s">
        <v>277</v>
      </c>
      <c r="AL49"/>
      <c r="AM49"/>
      <c r="AN49"/>
      <c r="AO49"/>
      <c r="AQ49"/>
      <c r="AR49"/>
      <c r="AS49"/>
      <c r="AT49"/>
      <c r="AU49"/>
      <c r="AW49"/>
      <c r="AX49"/>
    </row>
    <row r="50" spans="2:50" s="30" customFormat="1" ht="21.75" thickBot="1" x14ac:dyDescent="0.4">
      <c r="C50" s="20">
        <f>D46</f>
        <v>9</v>
      </c>
      <c r="D50" s="444">
        <v>16.919</v>
      </c>
      <c r="E50" s="445">
        <v>21.666</v>
      </c>
      <c r="F50" s="446">
        <v>27.876999999999999</v>
      </c>
      <c r="G50"/>
      <c r="H50" s="79"/>
      <c r="I50" s="25">
        <v>2</v>
      </c>
      <c r="J50" s="522">
        <f>SUM(O5:O44)</f>
        <v>11662.497019979301</v>
      </c>
      <c r="K50" s="33" t="s">
        <v>163</v>
      </c>
      <c r="N50" s="56"/>
      <c r="O50" s="35"/>
      <c r="P50" s="35"/>
      <c r="Q50"/>
      <c r="R50"/>
      <c r="S50"/>
      <c r="T50"/>
      <c r="W50" s="292" t="s">
        <v>344</v>
      </c>
      <c r="X50" s="302"/>
      <c r="Y50" s="302"/>
      <c r="Z50" s="302"/>
      <c r="AA50" s="302"/>
      <c r="AB50" s="302"/>
      <c r="AC50" s="302"/>
      <c r="AL50"/>
      <c r="AM50"/>
      <c r="AN50"/>
      <c r="AO50"/>
      <c r="AQ50"/>
      <c r="AR50"/>
      <c r="AS50"/>
      <c r="AT50"/>
      <c r="AU50"/>
      <c r="AW50"/>
      <c r="AX50"/>
    </row>
    <row r="51" spans="2:50" s="30" customFormat="1" ht="18.75" x14ac:dyDescent="0.3">
      <c r="C51"/>
      <c r="D51"/>
      <c r="E51"/>
      <c r="F51"/>
      <c r="G51"/>
      <c r="H51" s="79"/>
      <c r="I51" s="25">
        <v>3</v>
      </c>
      <c r="J51" s="522">
        <f>((I46*LN(I46)) + (J46*LN(J46)))</f>
        <v>15155.799552792781</v>
      </c>
      <c r="K51" s="33" t="s">
        <v>164</v>
      </c>
      <c r="N51" s="524"/>
      <c r="O51" s="525"/>
      <c r="P51" s="525"/>
      <c r="Q51"/>
      <c r="R51"/>
      <c r="S51"/>
      <c r="T51"/>
      <c r="W51" s="292" t="s">
        <v>398</v>
      </c>
      <c r="AL51"/>
      <c r="AM51"/>
      <c r="AN51"/>
      <c r="AO51"/>
    </row>
    <row r="52" spans="2:50" s="30" customFormat="1" ht="18.75" x14ac:dyDescent="0.3">
      <c r="C52"/>
      <c r="D52"/>
      <c r="E52"/>
      <c r="F52"/>
      <c r="G52"/>
      <c r="H52" s="79"/>
      <c r="I52" s="25">
        <v>4</v>
      </c>
      <c r="J52" s="522">
        <f>K46*LN(K46)</f>
        <v>16653.622866029076</v>
      </c>
      <c r="K52" s="33" t="s">
        <v>163</v>
      </c>
      <c r="Q52"/>
      <c r="R52"/>
      <c r="S52"/>
      <c r="T52"/>
      <c r="W52" s="302" t="s">
        <v>397</v>
      </c>
    </row>
    <row r="53" spans="2:50" s="30" customFormat="1" ht="18.75" x14ac:dyDescent="0.3">
      <c r="C53"/>
      <c r="D53"/>
      <c r="E53"/>
      <c r="F53"/>
      <c r="G53"/>
      <c r="H53" s="79"/>
      <c r="I53" s="25">
        <v>5</v>
      </c>
      <c r="J53" s="37">
        <f>2*(J49 - J50 - J51 + J52)</f>
        <v>0.58362560738169122</v>
      </c>
      <c r="K53" s="406" t="s">
        <v>297</v>
      </c>
      <c r="L53" s="33" t="s">
        <v>29</v>
      </c>
      <c r="Q53"/>
      <c r="R53"/>
      <c r="S53"/>
      <c r="T53"/>
      <c r="V53" s="30" t="s">
        <v>343</v>
      </c>
    </row>
    <row r="54" spans="2:50" s="30" customFormat="1" ht="18.75" x14ac:dyDescent="0.3">
      <c r="C54"/>
      <c r="D54"/>
      <c r="E54"/>
      <c r="F54"/>
      <c r="G54"/>
      <c r="H54" s="79"/>
      <c r="I54" s="25">
        <v>6</v>
      </c>
      <c r="J54" s="161">
        <f>1 + ((L54*M54)/N54)</f>
        <v>1.0025544165317624</v>
      </c>
      <c r="K54" s="33" t="s">
        <v>323</v>
      </c>
      <c r="L54" s="111">
        <f>(K46*P46) - 1</f>
        <v>99.081693669062474</v>
      </c>
      <c r="M54" s="31">
        <f>(K46*(1/I46 + 1/J46)) - 1</f>
        <v>3.0182230554650786</v>
      </c>
      <c r="N54" s="30">
        <f xml:space="preserve"> 6*K46*(2-1)*(P45 - 1)</f>
        <v>117072</v>
      </c>
      <c r="O54" s="178" t="s">
        <v>536</v>
      </c>
      <c r="Q54" s="542"/>
      <c r="R54" s="542"/>
      <c r="S54" s="542"/>
      <c r="U54" s="30" t="s">
        <v>281</v>
      </c>
    </row>
    <row r="55" spans="2:50" s="30" customFormat="1" ht="18.75" x14ac:dyDescent="0.3">
      <c r="C55"/>
      <c r="D55"/>
      <c r="E55"/>
      <c r="F55"/>
      <c r="G55"/>
      <c r="H55" s="79"/>
      <c r="I55" s="23"/>
      <c r="J55" s="37">
        <f>J53/J54</f>
        <v>0.58213858296159737</v>
      </c>
      <c r="K55" s="590" t="s">
        <v>298</v>
      </c>
      <c r="L55" s="591"/>
      <c r="M55" t="s">
        <v>540</v>
      </c>
      <c r="N55"/>
      <c r="O55"/>
      <c r="P55"/>
      <c r="Q55" s="79"/>
      <c r="R55" s="79"/>
      <c r="S55" s="79"/>
      <c r="U55" s="30" t="s">
        <v>280</v>
      </c>
    </row>
    <row r="56" spans="2:50" s="30" customFormat="1" ht="18.75" x14ac:dyDescent="0.3">
      <c r="D56"/>
      <c r="E56"/>
      <c r="F56"/>
      <c r="G56"/>
      <c r="H56" s="79"/>
      <c r="I56"/>
      <c r="J56"/>
      <c r="K56"/>
      <c r="L56"/>
      <c r="M56"/>
      <c r="N56"/>
      <c r="O56"/>
      <c r="P56"/>
      <c r="R56" s="79"/>
      <c r="S56" s="79"/>
      <c r="V56" s="30" t="s">
        <v>275</v>
      </c>
    </row>
    <row r="57" spans="2:50" s="30" customFormat="1" ht="18.75" x14ac:dyDescent="0.3">
      <c r="D57"/>
      <c r="E57"/>
      <c r="F57"/>
      <c r="G57"/>
      <c r="H57" s="79"/>
      <c r="R57" s="79"/>
      <c r="S57" s="79"/>
      <c r="V57" s="30" t="s">
        <v>276</v>
      </c>
    </row>
    <row r="58" spans="2:50" s="30" customFormat="1" ht="18.75" x14ac:dyDescent="0.3">
      <c r="C58"/>
      <c r="D58"/>
      <c r="E58"/>
      <c r="F58"/>
      <c r="G58"/>
      <c r="H58"/>
      <c r="R58" s="79"/>
      <c r="S58" s="79"/>
      <c r="V58" s="30" t="s">
        <v>384</v>
      </c>
    </row>
    <row r="59" spans="2:50" s="30" customFormat="1" ht="18.75" x14ac:dyDescent="0.3">
      <c r="C59"/>
      <c r="D59"/>
      <c r="E59"/>
      <c r="F59"/>
      <c r="G59"/>
      <c r="H59"/>
      <c r="R59" s="79"/>
      <c r="S59" s="79"/>
      <c r="V59" s="30" t="s">
        <v>385</v>
      </c>
    </row>
    <row r="60" spans="2:50" s="30" customFormat="1" ht="18.75" x14ac:dyDescent="0.3">
      <c r="C60"/>
      <c r="D60"/>
      <c r="E60"/>
      <c r="F60"/>
      <c r="G60"/>
      <c r="H60"/>
      <c r="R60" s="79"/>
      <c r="S60" s="79"/>
    </row>
    <row r="61" spans="2:50" s="30" customFormat="1" ht="18.75" x14ac:dyDescent="0.3">
      <c r="B61"/>
      <c r="C61"/>
      <c r="D61"/>
      <c r="E61"/>
      <c r="F61"/>
      <c r="G61"/>
      <c r="H61"/>
      <c r="R61" s="79"/>
      <c r="S61" s="79"/>
      <c r="U61" s="25" t="s">
        <v>544</v>
      </c>
    </row>
    <row r="62" spans="2:50" s="30" customFormat="1" ht="18.75" x14ac:dyDescent="0.3">
      <c r="B62"/>
      <c r="C62"/>
      <c r="D62"/>
      <c r="E62"/>
      <c r="F62"/>
      <c r="G62"/>
      <c r="H62"/>
      <c r="R62" s="79"/>
      <c r="S62" s="79"/>
      <c r="V62" s="30" t="s">
        <v>538</v>
      </c>
      <c r="AL62"/>
      <c r="AM62"/>
      <c r="AN62"/>
      <c r="AO62"/>
    </row>
    <row r="63" spans="2:50" s="30" customFormat="1" ht="18.75" x14ac:dyDescent="0.3">
      <c r="B63"/>
      <c r="C63"/>
      <c r="D63"/>
      <c r="E63"/>
      <c r="F63"/>
      <c r="G63"/>
      <c r="H63"/>
      <c r="R63" s="79"/>
      <c r="S63" s="79"/>
      <c r="W63" s="30" t="s">
        <v>368</v>
      </c>
      <c r="AL63"/>
      <c r="AM63"/>
      <c r="AN63"/>
      <c r="AO63"/>
    </row>
    <row r="64" spans="2:50" ht="18.75" x14ac:dyDescent="0.3">
      <c r="L64" s="30"/>
      <c r="M64" s="30"/>
      <c r="N64" s="30"/>
      <c r="O64" s="30"/>
      <c r="P64" s="30"/>
      <c r="R64" s="79"/>
      <c r="S64" s="79"/>
      <c r="U64" s="30"/>
      <c r="V64" s="30"/>
      <c r="W64" s="30" t="s">
        <v>339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Q64" s="30"/>
      <c r="AR64" s="30"/>
      <c r="AS64" s="30"/>
      <c r="AT64" s="30"/>
      <c r="AU64" s="30"/>
      <c r="AW64" s="30"/>
      <c r="AX64" s="30"/>
    </row>
    <row r="65" spans="9:50" ht="18.75" x14ac:dyDescent="0.3">
      <c r="I65" s="79"/>
      <c r="J65" s="30"/>
      <c r="K65" s="79"/>
      <c r="L65" s="79"/>
      <c r="M65" s="30"/>
      <c r="N65" s="30"/>
      <c r="O65" s="79"/>
      <c r="P65" s="79"/>
      <c r="R65" s="79"/>
      <c r="S65" s="79"/>
      <c r="U65" s="30"/>
      <c r="V65" s="30" t="s">
        <v>300</v>
      </c>
      <c r="W65" s="30"/>
      <c r="AQ65" s="30"/>
      <c r="AR65" s="30"/>
      <c r="AS65" s="30"/>
      <c r="AT65" s="30"/>
      <c r="AU65" s="30"/>
      <c r="AW65" s="30"/>
      <c r="AX65" s="30"/>
    </row>
    <row r="66" spans="9:50" ht="18.75" x14ac:dyDescent="0.3">
      <c r="I66" s="79"/>
      <c r="K66" s="79"/>
      <c r="L66" s="79"/>
      <c r="O66" s="79"/>
      <c r="P66" s="79"/>
      <c r="R66" s="79"/>
      <c r="S66" s="79"/>
      <c r="U66" s="30"/>
      <c r="V66" s="30" t="s">
        <v>301</v>
      </c>
      <c r="W66" s="30"/>
      <c r="AQ66" s="30"/>
      <c r="AR66" s="30"/>
      <c r="AS66" s="30"/>
      <c r="AT66" s="30"/>
      <c r="AU66" s="30"/>
      <c r="AW66" s="30"/>
      <c r="AX66" s="30"/>
    </row>
    <row r="67" spans="9:50" ht="18.75" x14ac:dyDescent="0.3">
      <c r="I67" s="79"/>
      <c r="K67" s="79"/>
      <c r="L67" s="79"/>
      <c r="O67" s="79"/>
      <c r="P67" s="79"/>
      <c r="U67" s="30"/>
      <c r="V67" s="30"/>
      <c r="W67" s="30" t="s">
        <v>322</v>
      </c>
      <c r="AQ67" s="30"/>
      <c r="AR67" s="30"/>
      <c r="AS67" s="30"/>
      <c r="AT67" s="30"/>
      <c r="AU67" s="30"/>
      <c r="AW67" s="30"/>
      <c r="AX67" s="30"/>
    </row>
    <row r="68" spans="9:50" ht="18.75" x14ac:dyDescent="0.3">
      <c r="I68" s="79"/>
      <c r="K68" s="79"/>
      <c r="L68" s="79"/>
      <c r="O68" s="79"/>
      <c r="P68" s="79"/>
      <c r="U68" s="30"/>
      <c r="V68" s="30"/>
      <c r="W68" s="30" t="s">
        <v>366</v>
      </c>
    </row>
  </sheetData>
  <mergeCells count="5">
    <mergeCell ref="B2:G2"/>
    <mergeCell ref="AL4:AO4"/>
    <mergeCell ref="D48:F48"/>
    <mergeCell ref="K55:L55"/>
    <mergeCell ref="I2:P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0E27-508B-4A5C-A776-2B891696F354}">
  <sheetPr>
    <tabColor rgb="FFFFFF00"/>
  </sheetPr>
  <dimension ref="B1:Y39"/>
  <sheetViews>
    <sheetView workbookViewId="0">
      <pane ySplit="7" topLeftCell="A8" activePane="bottomLeft" state="frozen"/>
      <selection pane="bottomLeft" activeCell="Y4" sqref="Y4:Z6"/>
    </sheetView>
  </sheetViews>
  <sheetFormatPr defaultRowHeight="15" x14ac:dyDescent="0.25"/>
  <cols>
    <col min="9" max="9" width="10.140625" bestFit="1" customWidth="1"/>
    <col min="11" max="11" width="11.140625" bestFit="1" customWidth="1"/>
    <col min="12" max="12" width="10.7109375" bestFit="1" customWidth="1"/>
    <col min="19" max="20" width="9.28515625" bestFit="1" customWidth="1"/>
    <col min="21" max="21" width="10.140625" bestFit="1" customWidth="1"/>
    <col min="22" max="22" width="9.28515625" bestFit="1" customWidth="1"/>
    <col min="23" max="23" width="10.85546875" bestFit="1" customWidth="1"/>
    <col min="24" max="24" width="10.7109375" bestFit="1" customWidth="1"/>
    <col min="25" max="25" width="9.42578125" bestFit="1" customWidth="1"/>
    <col min="26" max="26" width="9.28515625" bestFit="1" customWidth="1"/>
    <col min="27" max="27" width="9.5703125" bestFit="1" customWidth="1"/>
  </cols>
  <sheetData>
    <row r="1" spans="2:24" s="9" customFormat="1" ht="21" x14ac:dyDescent="0.35">
      <c r="B1" s="289" t="s">
        <v>245</v>
      </c>
      <c r="C1" s="289"/>
      <c r="D1" s="289"/>
      <c r="E1" s="289"/>
      <c r="F1" s="289"/>
      <c r="G1" s="289"/>
      <c r="H1" s="289"/>
      <c r="I1" s="289"/>
      <c r="J1" s="289"/>
      <c r="K1" s="289"/>
      <c r="L1" s="417"/>
      <c r="M1" s="417"/>
      <c r="N1" s="289"/>
      <c r="O1" s="289"/>
      <c r="P1" s="289"/>
      <c r="Q1" s="273"/>
      <c r="R1" s="273"/>
      <c r="S1" s="273"/>
      <c r="T1" s="273"/>
      <c r="U1" s="273"/>
      <c r="V1" s="273"/>
      <c r="W1" s="273"/>
      <c r="X1" s="418"/>
    </row>
    <row r="2" spans="2:24" s="9" customFormat="1" ht="21.75" thickBot="1" x14ac:dyDescent="0.4">
      <c r="B2" s="597" t="s">
        <v>387</v>
      </c>
      <c r="C2" s="597"/>
      <c r="D2" s="597"/>
      <c r="E2" s="597"/>
      <c r="F2" s="597"/>
      <c r="G2" s="597"/>
      <c r="H2" s="597"/>
      <c r="I2" s="597"/>
      <c r="J2" s="597"/>
      <c r="K2" s="597"/>
      <c r="L2" s="418"/>
      <c r="M2" s="597" t="s">
        <v>263</v>
      </c>
      <c r="N2" s="597"/>
      <c r="O2" s="597"/>
      <c r="P2" s="597"/>
      <c r="Q2" s="597"/>
      <c r="R2" s="597"/>
      <c r="S2" s="597"/>
      <c r="T2" s="597"/>
      <c r="U2" s="597"/>
      <c r="V2" s="597"/>
    </row>
    <row r="3" spans="2:24" ht="48" thickBot="1" x14ac:dyDescent="0.4">
      <c r="B3" s="467" t="s">
        <v>160</v>
      </c>
      <c r="C3" s="468" t="s">
        <v>159</v>
      </c>
      <c r="D3" s="469" t="s">
        <v>158</v>
      </c>
      <c r="E3" s="470" t="s">
        <v>157</v>
      </c>
      <c r="F3" s="471" t="s">
        <v>156</v>
      </c>
      <c r="G3" s="471" t="s">
        <v>155</v>
      </c>
      <c r="H3" s="472" t="s">
        <v>154</v>
      </c>
      <c r="I3" s="473" t="s">
        <v>153</v>
      </c>
      <c r="J3" s="474" t="s">
        <v>152</v>
      </c>
      <c r="K3" s="475" t="s">
        <v>264</v>
      </c>
      <c r="L3" s="93"/>
      <c r="M3" s="467" t="s">
        <v>160</v>
      </c>
      <c r="N3" s="468" t="s">
        <v>159</v>
      </c>
      <c r="O3" s="469" t="s">
        <v>158</v>
      </c>
      <c r="P3" s="470" t="s">
        <v>157</v>
      </c>
      <c r="Q3" s="471" t="s">
        <v>156</v>
      </c>
      <c r="R3" s="471" t="s">
        <v>155</v>
      </c>
      <c r="S3" s="472" t="s">
        <v>154</v>
      </c>
      <c r="T3" s="473" t="s">
        <v>153</v>
      </c>
      <c r="U3" s="474" t="s">
        <v>152</v>
      </c>
      <c r="V3" s="475" t="s">
        <v>264</v>
      </c>
    </row>
    <row r="4" spans="2:24" ht="23.25" x14ac:dyDescent="0.35">
      <c r="B4" s="308" t="s">
        <v>147</v>
      </c>
      <c r="C4" s="425">
        <v>16</v>
      </c>
      <c r="D4" s="320">
        <f>C4/C7</f>
        <v>1.6E-2</v>
      </c>
      <c r="E4" s="308"/>
      <c r="F4" s="321"/>
      <c r="G4" s="322"/>
      <c r="H4" s="323" t="s">
        <v>147</v>
      </c>
      <c r="I4" s="324">
        <f>G5*G5</f>
        <v>1.9182250000000005E-2</v>
      </c>
      <c r="J4" s="325">
        <f xml:space="preserve"> ROUND(I4*C7,0)</f>
        <v>19</v>
      </c>
      <c r="K4" s="326">
        <f>(C4-J4)^2 / J4</f>
        <v>0.47368421052631576</v>
      </c>
      <c r="L4" s="93"/>
      <c r="M4" s="308" t="s">
        <v>147</v>
      </c>
      <c r="N4" s="422">
        <v>41</v>
      </c>
      <c r="O4" s="320">
        <f>N4/N7</f>
        <v>0.20499999999999999</v>
      </c>
      <c r="P4" s="308"/>
      <c r="Q4" s="321"/>
      <c r="R4" s="322"/>
      <c r="S4" s="323" t="s">
        <v>147</v>
      </c>
      <c r="T4" s="324">
        <f>R5*R5</f>
        <v>0.17015624999999998</v>
      </c>
      <c r="U4" s="325">
        <f xml:space="preserve"> ROUND(T4*N7,0)</f>
        <v>34</v>
      </c>
      <c r="V4" s="326">
        <f>(N4-U4)^2 / U4</f>
        <v>1.4411764705882353</v>
      </c>
    </row>
    <row r="5" spans="2:24" ht="23.25" x14ac:dyDescent="0.35">
      <c r="B5" s="327" t="s">
        <v>146</v>
      </c>
      <c r="C5" s="426">
        <v>245</v>
      </c>
      <c r="D5" s="328">
        <f>C5/C7</f>
        <v>0.245</v>
      </c>
      <c r="E5" s="327" t="s">
        <v>228</v>
      </c>
      <c r="F5" s="329">
        <f xml:space="preserve"> 2*C4 + C5</f>
        <v>277</v>
      </c>
      <c r="G5" s="330">
        <f>F5/(2 * C7)</f>
        <v>0.13850000000000001</v>
      </c>
      <c r="H5" s="331" t="s">
        <v>146</v>
      </c>
      <c r="I5" s="332">
        <f>2*G5*G6</f>
        <v>0.23863550000000003</v>
      </c>
      <c r="J5" s="333">
        <f xml:space="preserve"> ROUND(I5*C7,0)</f>
        <v>239</v>
      </c>
      <c r="K5" s="334">
        <f xml:space="preserve"> (C5-J5)^2 / J5</f>
        <v>0.15062761506276151</v>
      </c>
      <c r="L5" s="93"/>
      <c r="M5" s="327" t="s">
        <v>146</v>
      </c>
      <c r="N5" s="423">
        <v>83</v>
      </c>
      <c r="O5" s="328">
        <f>N5/N7</f>
        <v>0.41499999999999998</v>
      </c>
      <c r="P5" s="327" t="s">
        <v>228</v>
      </c>
      <c r="Q5" s="329">
        <f xml:space="preserve"> 2*N4 + N5</f>
        <v>165</v>
      </c>
      <c r="R5" s="335">
        <f>Q5/(2 * N7)</f>
        <v>0.41249999999999998</v>
      </c>
      <c r="S5" s="331" t="s">
        <v>146</v>
      </c>
      <c r="T5" s="332">
        <f>2*R5*R6</f>
        <v>0.48468749999999999</v>
      </c>
      <c r="U5" s="333">
        <f xml:space="preserve"> ROUND(T5*N7,0)</f>
        <v>97</v>
      </c>
      <c r="V5" s="334">
        <f xml:space="preserve"> (N5-U5)^2 / U5</f>
        <v>2.0206185567010309</v>
      </c>
    </row>
    <row r="6" spans="2:24" ht="24" thickBot="1" x14ac:dyDescent="0.4">
      <c r="B6" s="309" t="s">
        <v>145</v>
      </c>
      <c r="C6" s="427">
        <v>739</v>
      </c>
      <c r="D6" s="336">
        <f>C6/C7</f>
        <v>0.73899999999999999</v>
      </c>
      <c r="E6" s="309" t="s">
        <v>218</v>
      </c>
      <c r="F6" s="337">
        <f xml:space="preserve"> C5 + 2*C6</f>
        <v>1723</v>
      </c>
      <c r="G6" s="338">
        <f>F6/ (2 * C7)</f>
        <v>0.86150000000000004</v>
      </c>
      <c r="H6" s="339" t="s">
        <v>145</v>
      </c>
      <c r="I6" s="340">
        <f>G6*G6</f>
        <v>0.74218225000000004</v>
      </c>
      <c r="J6" s="341">
        <f xml:space="preserve"> ROUND(I6*C7,0)</f>
        <v>742</v>
      </c>
      <c r="K6" s="342">
        <f>(C6-J6)^2 / J6</f>
        <v>1.2129380053908356E-2</v>
      </c>
      <c r="L6" s="93"/>
      <c r="M6" s="309" t="s">
        <v>145</v>
      </c>
      <c r="N6" s="424">
        <v>76</v>
      </c>
      <c r="O6" s="336">
        <f>N6/N7</f>
        <v>0.38</v>
      </c>
      <c r="P6" s="309" t="s">
        <v>218</v>
      </c>
      <c r="Q6" s="337">
        <f xml:space="preserve"> N5 + 2*N6</f>
        <v>235</v>
      </c>
      <c r="R6" s="343">
        <f>Q6/ (2 * N7)</f>
        <v>0.58750000000000002</v>
      </c>
      <c r="S6" s="339" t="s">
        <v>145</v>
      </c>
      <c r="T6" s="340">
        <f>R6*R6</f>
        <v>0.34515625000000005</v>
      </c>
      <c r="U6" s="341">
        <f xml:space="preserve"> ROUND(T6*N7,0)</f>
        <v>69</v>
      </c>
      <c r="V6" s="342">
        <f>(N6-U6)^2 / U6</f>
        <v>0.71014492753623193</v>
      </c>
    </row>
    <row r="7" spans="2:24" ht="23.25" x14ac:dyDescent="0.35">
      <c r="B7" s="4"/>
      <c r="C7" s="103">
        <f>SUM(C4:C6)</f>
        <v>1000</v>
      </c>
      <c r="D7" s="102">
        <f>SUM(D4:D6)</f>
        <v>1</v>
      </c>
      <c r="E7" s="92"/>
      <c r="F7" s="103">
        <f>SUM(F4:F6)</f>
        <v>2000</v>
      </c>
      <c r="G7" s="102">
        <f>SUM(G4:G6)</f>
        <v>1</v>
      </c>
      <c r="H7" s="103"/>
      <c r="I7" s="297">
        <f>SUM(I4:I6)</f>
        <v>1</v>
      </c>
      <c r="J7" s="127">
        <f>SUM(J4:J6)</f>
        <v>1000</v>
      </c>
      <c r="K7" s="466"/>
      <c r="L7" s="93"/>
      <c r="M7" s="4"/>
      <c r="N7" s="103">
        <f>SUM(N4:N6)</f>
        <v>200</v>
      </c>
      <c r="O7" s="102">
        <f>SUM(O4:O6)</f>
        <v>1</v>
      </c>
      <c r="P7" s="92"/>
      <c r="Q7" s="103">
        <f>SUM(Q4:Q6)</f>
        <v>400</v>
      </c>
      <c r="R7" s="102">
        <f>SUM(R4:R6)</f>
        <v>1</v>
      </c>
      <c r="S7" s="103"/>
      <c r="T7" s="297">
        <f>SUM(T4:T6)</f>
        <v>1</v>
      </c>
      <c r="U7" s="127">
        <f>SUM(U4:U6)</f>
        <v>200</v>
      </c>
      <c r="V7" s="466"/>
    </row>
    <row r="8" spans="2:24" ht="24" thickBot="1" x14ac:dyDescent="0.4">
      <c r="B8" s="92"/>
      <c r="C8" s="99"/>
      <c r="D8" s="101"/>
      <c r="E8" s="92"/>
      <c r="F8" s="104"/>
      <c r="G8" s="104"/>
      <c r="H8" s="98"/>
      <c r="I8" s="93"/>
      <c r="J8" s="97"/>
      <c r="K8" s="296">
        <f>SUM(K4:K6)</f>
        <v>0.63644120564298567</v>
      </c>
      <c r="L8" s="93"/>
      <c r="M8" s="92"/>
      <c r="N8" s="99"/>
      <c r="O8" s="101"/>
      <c r="P8" s="92"/>
      <c r="Q8" s="104"/>
      <c r="R8" s="104"/>
      <c r="S8" s="98"/>
      <c r="T8" s="93"/>
      <c r="U8" s="97"/>
      <c r="V8" s="296">
        <f>SUM(V4:V6)</f>
        <v>4.1719399548254987</v>
      </c>
    </row>
    <row r="9" spans="2:24" ht="24" thickBot="1" x14ac:dyDescent="0.4">
      <c r="B9" s="16"/>
      <c r="C9" s="585" t="s">
        <v>142</v>
      </c>
      <c r="D9" s="585"/>
      <c r="E9" s="586"/>
      <c r="F9" s="104"/>
      <c r="G9" s="104"/>
      <c r="H9" s="9"/>
      <c r="I9" s="421"/>
      <c r="J9" s="421"/>
      <c r="K9" s="93"/>
      <c r="L9" s="93"/>
      <c r="M9" s="96"/>
      <c r="N9" s="95"/>
      <c r="O9" s="94"/>
      <c r="P9" s="92"/>
      <c r="Q9" s="104"/>
      <c r="R9" s="104"/>
      <c r="S9" s="93"/>
      <c r="T9" s="93"/>
      <c r="U9" s="93"/>
      <c r="V9" s="93"/>
    </row>
    <row r="10" spans="2:24" ht="24" thickBot="1" x14ac:dyDescent="0.4">
      <c r="B10" s="80" t="s">
        <v>23</v>
      </c>
      <c r="C10" s="124" t="s">
        <v>173</v>
      </c>
      <c r="D10" s="125" t="s">
        <v>174</v>
      </c>
      <c r="E10" s="126" t="s">
        <v>175</v>
      </c>
      <c r="F10" s="104"/>
      <c r="G10" s="104"/>
      <c r="H10" s="419"/>
      <c r="I10" s="420"/>
      <c r="J10" s="420"/>
      <c r="K10" s="421"/>
      <c r="M10" s="593" t="s">
        <v>189</v>
      </c>
      <c r="N10" s="593"/>
      <c r="O10" s="85"/>
      <c r="P10" s="92"/>
      <c r="Q10" s="91"/>
      <c r="R10" s="90"/>
      <c r="S10" s="84"/>
      <c r="U10" s="83"/>
    </row>
    <row r="11" spans="2:24" ht="24" thickBot="1" x14ac:dyDescent="0.4">
      <c r="B11" s="501">
        <v>2</v>
      </c>
      <c r="C11" s="442">
        <v>5.9909999999999997</v>
      </c>
      <c r="D11" s="442">
        <v>9.2100000000000009</v>
      </c>
      <c r="E11" s="443">
        <v>13.816000000000001</v>
      </c>
      <c r="F11" s="104"/>
      <c r="G11" s="104"/>
      <c r="H11" s="3"/>
      <c r="I11" s="10"/>
      <c r="J11" s="10"/>
      <c r="K11" s="419"/>
      <c r="M11" s="212" t="s">
        <v>49</v>
      </c>
      <c r="N11" s="219"/>
      <c r="O11" s="594" t="s">
        <v>268</v>
      </c>
      <c r="P11" s="594"/>
      <c r="Q11" s="594"/>
      <c r="R11" s="595" t="s">
        <v>267</v>
      </c>
      <c r="S11" s="596"/>
      <c r="T11" s="311"/>
      <c r="U11" s="305" t="s">
        <v>148</v>
      </c>
      <c r="V11" s="9"/>
    </row>
    <row r="12" spans="2:24" ht="24" thickBot="1" x14ac:dyDescent="0.4">
      <c r="B12" s="386" t="s">
        <v>535</v>
      </c>
      <c r="C12" s="3"/>
      <c r="D12" s="10"/>
      <c r="E12" s="10"/>
      <c r="F12" s="103"/>
      <c r="G12" s="102"/>
      <c r="H12" s="3"/>
      <c r="I12" s="10"/>
      <c r="J12" s="10"/>
      <c r="K12" s="10"/>
      <c r="M12" s="213"/>
      <c r="N12" s="220"/>
      <c r="O12" s="89" t="s">
        <v>147</v>
      </c>
      <c r="P12" s="89" t="s">
        <v>146</v>
      </c>
      <c r="Q12" s="221" t="s">
        <v>145</v>
      </c>
      <c r="R12" s="306" t="s">
        <v>228</v>
      </c>
      <c r="S12" s="307" t="s">
        <v>218</v>
      </c>
      <c r="T12" s="312"/>
      <c r="U12" s="310" t="s">
        <v>144</v>
      </c>
      <c r="V12" s="88" t="s">
        <v>190</v>
      </c>
    </row>
    <row r="13" spans="2:24" ht="23.25" x14ac:dyDescent="0.35">
      <c r="D13" s="85"/>
      <c r="E13" s="100"/>
      <c r="F13" s="99"/>
      <c r="G13" s="98"/>
      <c r="H13" s="3"/>
      <c r="I13" s="10"/>
      <c r="J13" s="10"/>
      <c r="K13" s="10"/>
      <c r="M13" s="43" t="s">
        <v>143</v>
      </c>
      <c r="N13" s="86"/>
      <c r="O13" s="304">
        <v>41</v>
      </c>
      <c r="P13" s="304">
        <v>83</v>
      </c>
      <c r="Q13" s="304">
        <v>76</v>
      </c>
      <c r="R13" s="298"/>
      <c r="S13" s="30"/>
      <c r="T13" s="30"/>
      <c r="V13" s="86"/>
    </row>
    <row r="14" spans="2:24" ht="24" thickBot="1" x14ac:dyDescent="0.4">
      <c r="B14" s="593" t="s">
        <v>189</v>
      </c>
      <c r="C14" s="593"/>
      <c r="D14" s="85"/>
      <c r="E14" s="92"/>
      <c r="F14" s="91"/>
      <c r="G14" s="90"/>
      <c r="H14" s="84"/>
      <c r="J14" s="83"/>
      <c r="K14" s="10"/>
      <c r="M14" s="84"/>
      <c r="N14" s="85"/>
      <c r="O14" s="85"/>
      <c r="P14" s="84"/>
      <c r="Q14" s="85"/>
      <c r="R14" s="85"/>
      <c r="S14" s="84"/>
      <c r="U14" s="83"/>
      <c r="V14" s="299"/>
    </row>
    <row r="15" spans="2:24" ht="23.25" x14ac:dyDescent="0.35">
      <c r="B15" s="212" t="s">
        <v>49</v>
      </c>
      <c r="C15" s="219"/>
      <c r="D15" s="594" t="s">
        <v>268</v>
      </c>
      <c r="E15" s="594"/>
      <c r="F15" s="594"/>
      <c r="G15" s="595" t="s">
        <v>267</v>
      </c>
      <c r="H15" s="596"/>
      <c r="I15" s="311"/>
      <c r="J15" s="305" t="s">
        <v>148</v>
      </c>
      <c r="M15" s="496" t="s">
        <v>271</v>
      </c>
      <c r="N15" s="87"/>
      <c r="Q15" s="303"/>
      <c r="R15" s="303"/>
      <c r="S15" s="303"/>
      <c r="V15" s="31"/>
    </row>
    <row r="16" spans="2:24" ht="24" thickBot="1" x14ac:dyDescent="0.4">
      <c r="B16" s="213"/>
      <c r="C16" s="220"/>
      <c r="D16" s="89" t="s">
        <v>147</v>
      </c>
      <c r="E16" s="89" t="s">
        <v>146</v>
      </c>
      <c r="F16" s="89" t="s">
        <v>145</v>
      </c>
      <c r="G16" s="306" t="s">
        <v>228</v>
      </c>
      <c r="H16" s="307" t="s">
        <v>218</v>
      </c>
      <c r="I16" s="312"/>
      <c r="J16" s="310" t="s">
        <v>144</v>
      </c>
      <c r="K16" s="9"/>
      <c r="M16" s="86" t="s">
        <v>354</v>
      </c>
      <c r="N16" s="30"/>
      <c r="V16" s="31"/>
    </row>
    <row r="17" spans="2:22" ht="23.25" x14ac:dyDescent="0.35">
      <c r="B17" s="30" t="s">
        <v>265</v>
      </c>
      <c r="C17" s="30"/>
      <c r="D17" s="30">
        <v>8</v>
      </c>
      <c r="E17" s="30">
        <v>186</v>
      </c>
      <c r="F17" s="30">
        <v>806</v>
      </c>
      <c r="G17" s="301"/>
      <c r="H17" s="301"/>
      <c r="I17" s="35"/>
      <c r="J17" s="86"/>
      <c r="K17" s="88" t="s">
        <v>190</v>
      </c>
      <c r="M17" s="30" t="s">
        <v>355</v>
      </c>
      <c r="N17" s="30"/>
      <c r="V17" s="31"/>
    </row>
    <row r="18" spans="2:22" ht="19.5" thickBot="1" x14ac:dyDescent="0.35">
      <c r="B18" s="413" t="s">
        <v>229</v>
      </c>
      <c r="C18" s="292"/>
      <c r="D18" s="292">
        <v>16</v>
      </c>
      <c r="E18" s="292">
        <v>245</v>
      </c>
      <c r="F18" s="292">
        <v>739</v>
      </c>
      <c r="G18" s="413">
        <v>0.13850000000000001</v>
      </c>
      <c r="H18" s="413">
        <v>0.86150000000000004</v>
      </c>
      <c r="I18" s="476">
        <v>0.63644120564298567</v>
      </c>
      <c r="J18" s="477" t="s">
        <v>176</v>
      </c>
      <c r="K18" s="86"/>
      <c r="M18" s="30"/>
      <c r="N18" s="30" t="s">
        <v>291</v>
      </c>
      <c r="V18" s="31"/>
    </row>
    <row r="19" spans="2:22" s="30" customFormat="1" ht="19.5" thickBot="1" x14ac:dyDescent="0.35">
      <c r="B19" s="300" t="s">
        <v>221</v>
      </c>
      <c r="D19" s="302">
        <v>24</v>
      </c>
      <c r="E19" s="302">
        <v>304</v>
      </c>
      <c r="F19" s="302">
        <v>672</v>
      </c>
      <c r="G19" s="301"/>
      <c r="H19" s="301"/>
      <c r="I19" s="35"/>
      <c r="J19" s="86"/>
      <c r="K19" s="299"/>
      <c r="N19" s="497" t="s">
        <v>365</v>
      </c>
      <c r="O19" s="498"/>
      <c r="P19" s="498"/>
      <c r="Q19" s="498"/>
      <c r="R19" s="498"/>
      <c r="S19" s="498"/>
      <c r="T19" s="498"/>
      <c r="U19" s="499"/>
    </row>
    <row r="20" spans="2:22" s="30" customFormat="1" ht="18.75" x14ac:dyDescent="0.3">
      <c r="B20" s="300" t="s">
        <v>220</v>
      </c>
      <c r="D20" s="302">
        <v>278</v>
      </c>
      <c r="E20" s="302">
        <v>489</v>
      </c>
      <c r="F20" s="302">
        <v>233</v>
      </c>
      <c r="G20" s="301"/>
      <c r="H20" s="301"/>
      <c r="I20" s="35"/>
      <c r="J20" s="86"/>
      <c r="K20" s="31"/>
      <c r="M20" s="30" t="s">
        <v>356</v>
      </c>
      <c r="O20"/>
      <c r="P20"/>
      <c r="Q20"/>
      <c r="R20"/>
      <c r="S20"/>
      <c r="T20"/>
      <c r="U20"/>
    </row>
    <row r="21" spans="2:22" s="30" customFormat="1" ht="18.75" x14ac:dyDescent="0.3">
      <c r="B21" s="30" t="s">
        <v>266</v>
      </c>
      <c r="D21" s="30">
        <v>291</v>
      </c>
      <c r="E21" s="30">
        <v>496</v>
      </c>
      <c r="F21" s="30">
        <v>213</v>
      </c>
      <c r="G21" s="301"/>
      <c r="H21" s="301"/>
      <c r="I21" s="35"/>
      <c r="J21" s="86"/>
      <c r="K21" s="31"/>
      <c r="N21" s="30" t="s">
        <v>269</v>
      </c>
      <c r="O21"/>
      <c r="P21"/>
      <c r="Q21"/>
      <c r="R21"/>
      <c r="S21"/>
      <c r="T21"/>
      <c r="U21"/>
    </row>
    <row r="22" spans="2:22" s="30" customFormat="1" ht="18.75" x14ac:dyDescent="0.3">
      <c r="B22" s="300" t="s">
        <v>219</v>
      </c>
      <c r="D22" s="302">
        <v>301</v>
      </c>
      <c r="E22" s="302">
        <v>495</v>
      </c>
      <c r="F22" s="302">
        <v>204</v>
      </c>
      <c r="G22" s="301"/>
      <c r="H22" s="301"/>
      <c r="I22" s="35"/>
      <c r="J22" s="86"/>
      <c r="K22" s="31"/>
      <c r="N22" s="30" t="s">
        <v>357</v>
      </c>
      <c r="O22"/>
      <c r="P22"/>
      <c r="Q22"/>
      <c r="R22"/>
      <c r="S22"/>
      <c r="T22"/>
      <c r="U22"/>
    </row>
    <row r="23" spans="2:22" s="30" customFormat="1" ht="18.75" x14ac:dyDescent="0.3">
      <c r="B23" s="300" t="s">
        <v>138</v>
      </c>
      <c r="D23" s="302">
        <v>297</v>
      </c>
      <c r="E23" s="302">
        <v>507</v>
      </c>
      <c r="F23" s="302">
        <v>196</v>
      </c>
      <c r="G23" s="301"/>
      <c r="H23" s="301"/>
      <c r="I23" s="35"/>
      <c r="J23" s="86"/>
      <c r="K23" s="31"/>
      <c r="M23" s="30" t="s">
        <v>289</v>
      </c>
      <c r="O23"/>
      <c r="P23"/>
      <c r="Q23"/>
      <c r="R23"/>
      <c r="S23"/>
      <c r="T23"/>
      <c r="U23"/>
    </row>
    <row r="24" spans="2:22" s="30" customFormat="1" ht="18.75" x14ac:dyDescent="0.3">
      <c r="B24" s="300" t="s">
        <v>226</v>
      </c>
      <c r="D24" s="302">
        <v>332</v>
      </c>
      <c r="E24" s="302">
        <v>486</v>
      </c>
      <c r="F24" s="302">
        <v>182</v>
      </c>
      <c r="G24" s="301"/>
      <c r="H24" s="301"/>
      <c r="I24" s="35"/>
      <c r="J24" s="86"/>
      <c r="N24" s="30" t="s">
        <v>358</v>
      </c>
      <c r="O24"/>
      <c r="P24"/>
      <c r="Q24"/>
      <c r="R24"/>
      <c r="S24"/>
      <c r="T24"/>
      <c r="U24"/>
    </row>
    <row r="25" spans="2:22" s="30" customFormat="1" ht="18.75" x14ac:dyDescent="0.3">
      <c r="B25" s="145" t="s">
        <v>222</v>
      </c>
      <c r="D25" s="30">
        <v>366</v>
      </c>
      <c r="E25" s="30">
        <v>480</v>
      </c>
      <c r="F25" s="30">
        <v>154</v>
      </c>
      <c r="G25" s="301"/>
      <c r="H25" s="301"/>
      <c r="I25" s="35"/>
      <c r="J25" s="86"/>
      <c r="L25"/>
      <c r="M25" s="292" t="s">
        <v>337</v>
      </c>
      <c r="N25" s="183"/>
      <c r="O25" s="183"/>
      <c r="P25" s="183"/>
      <c r="Q25" s="183"/>
      <c r="R25" s="292"/>
    </row>
    <row r="26" spans="2:22" s="30" customFormat="1" ht="18.75" x14ac:dyDescent="0.3">
      <c r="B26" s="300" t="s">
        <v>227</v>
      </c>
      <c r="D26" s="302">
        <v>835</v>
      </c>
      <c r="E26" s="302">
        <v>156</v>
      </c>
      <c r="F26" s="302">
        <v>9</v>
      </c>
      <c r="G26" s="301"/>
      <c r="H26" s="301"/>
      <c r="I26" s="35"/>
      <c r="J26" s="86"/>
      <c r="L26"/>
      <c r="M26" s="183"/>
      <c r="N26" s="292" t="s">
        <v>383</v>
      </c>
      <c r="O26" s="183"/>
      <c r="P26" s="183"/>
      <c r="Q26" s="183"/>
      <c r="R26" s="292"/>
    </row>
    <row r="27" spans="2:22" s="30" customFormat="1" ht="18.75" x14ac:dyDescent="0.3">
      <c r="B27" s="30" t="s">
        <v>230</v>
      </c>
      <c r="D27" s="30">
        <v>845</v>
      </c>
      <c r="E27" s="30">
        <v>144</v>
      </c>
      <c r="F27" s="30">
        <v>11</v>
      </c>
      <c r="G27" s="301"/>
      <c r="H27" s="301"/>
      <c r="I27" s="35"/>
      <c r="J27" s="86"/>
      <c r="L27"/>
      <c r="M27"/>
      <c r="N27" s="292" t="s">
        <v>336</v>
      </c>
      <c r="O27"/>
      <c r="P27"/>
      <c r="Q27"/>
    </row>
    <row r="28" spans="2:22" s="30" customFormat="1" ht="18.75" x14ac:dyDescent="0.3">
      <c r="B28" s="84"/>
      <c r="C28" s="85"/>
      <c r="D28" s="85"/>
      <c r="E28" s="84"/>
      <c r="F28" s="85"/>
      <c r="G28" s="85"/>
      <c r="H28" s="84"/>
      <c r="I28"/>
      <c r="J28" s="83"/>
      <c r="L28"/>
      <c r="M28"/>
      <c r="N28"/>
      <c r="O28"/>
      <c r="P28"/>
      <c r="Q28"/>
    </row>
    <row r="29" spans="2:22" s="30" customFormat="1" ht="18.75" x14ac:dyDescent="0.3">
      <c r="B29"/>
      <c r="C29"/>
      <c r="D29"/>
      <c r="E29"/>
      <c r="F29"/>
      <c r="G29"/>
      <c r="H29"/>
      <c r="I29"/>
      <c r="J29"/>
      <c r="L29"/>
      <c r="M29"/>
      <c r="N29"/>
      <c r="O29"/>
      <c r="P29"/>
      <c r="Q29"/>
    </row>
    <row r="30" spans="2:22" s="30" customFormat="1" ht="18.75" x14ac:dyDescent="0.3">
      <c r="B30"/>
      <c r="C30"/>
      <c r="D30"/>
      <c r="E30"/>
      <c r="F30"/>
      <c r="G30"/>
      <c r="H30"/>
      <c r="I30"/>
      <c r="J30"/>
      <c r="N30"/>
      <c r="O30"/>
      <c r="P30"/>
      <c r="Q30"/>
      <c r="R30"/>
      <c r="S30"/>
      <c r="T30"/>
      <c r="U30"/>
      <c r="V30"/>
    </row>
    <row r="31" spans="2:22" s="30" customFormat="1" ht="18.75" x14ac:dyDescent="0.3">
      <c r="B31"/>
      <c r="C31"/>
      <c r="D31"/>
      <c r="E31"/>
      <c r="F31"/>
      <c r="G31"/>
      <c r="H31"/>
      <c r="I31"/>
      <c r="J31"/>
      <c r="N31"/>
      <c r="O31"/>
      <c r="P31"/>
      <c r="Q31"/>
      <c r="R31"/>
      <c r="S31"/>
      <c r="T31"/>
      <c r="U31"/>
      <c r="V31"/>
    </row>
    <row r="32" spans="2:22" s="30" customFormat="1" ht="18.75" x14ac:dyDescent="0.3">
      <c r="B32"/>
      <c r="C32"/>
      <c r="D32"/>
      <c r="E32"/>
      <c r="F32"/>
      <c r="G32"/>
      <c r="H32"/>
      <c r="I32"/>
      <c r="J32"/>
      <c r="N32"/>
      <c r="O32"/>
      <c r="P32"/>
      <c r="Q32"/>
      <c r="R32"/>
      <c r="S32"/>
      <c r="T32"/>
      <c r="U32"/>
      <c r="V32"/>
    </row>
    <row r="33" spans="2:25" s="30" customFormat="1" ht="18.75" x14ac:dyDescent="0.3">
      <c r="B33"/>
      <c r="C33"/>
      <c r="D33"/>
      <c r="E33"/>
      <c r="F33"/>
      <c r="G33"/>
      <c r="H33"/>
      <c r="I33"/>
      <c r="J33"/>
      <c r="N33"/>
      <c r="O33"/>
      <c r="P33"/>
      <c r="Q33"/>
      <c r="R33"/>
      <c r="S33"/>
      <c r="T33"/>
      <c r="U33"/>
      <c r="V33"/>
    </row>
    <row r="34" spans="2:25" s="30" customFormat="1" ht="18.75" x14ac:dyDescent="0.3">
      <c r="B34"/>
      <c r="C34"/>
      <c r="D34"/>
      <c r="E34"/>
      <c r="F34"/>
      <c r="G34"/>
      <c r="H34"/>
      <c r="I34"/>
      <c r="J34"/>
      <c r="N34"/>
      <c r="O34"/>
      <c r="P34"/>
      <c r="Q34"/>
      <c r="R34"/>
      <c r="S34"/>
      <c r="T34"/>
      <c r="U34"/>
      <c r="V34"/>
      <c r="W34"/>
      <c r="X34"/>
    </row>
    <row r="35" spans="2:25" s="30" customFormat="1" ht="18.75" x14ac:dyDescent="0.3">
      <c r="B35"/>
      <c r="C35"/>
      <c r="D35"/>
      <c r="E35"/>
      <c r="F35"/>
      <c r="G35"/>
      <c r="H35"/>
      <c r="I35"/>
      <c r="J35"/>
      <c r="N35"/>
      <c r="O35"/>
      <c r="P35"/>
      <c r="Q35"/>
      <c r="R35"/>
      <c r="S35"/>
      <c r="T35"/>
      <c r="U35"/>
      <c r="V35"/>
      <c r="W35"/>
      <c r="X35"/>
    </row>
    <row r="36" spans="2:25" s="30" customFormat="1" ht="18.75" x14ac:dyDescent="0.3">
      <c r="B36"/>
      <c r="C36"/>
      <c r="D36"/>
      <c r="E36"/>
      <c r="F36"/>
      <c r="G36"/>
      <c r="H36"/>
      <c r="I36"/>
      <c r="J36"/>
      <c r="N36"/>
      <c r="O36"/>
      <c r="P36"/>
      <c r="Q36"/>
      <c r="R36"/>
      <c r="S36"/>
      <c r="T36"/>
      <c r="U36"/>
      <c r="V36"/>
      <c r="W36"/>
      <c r="X36"/>
    </row>
    <row r="37" spans="2:25" s="30" customFormat="1" ht="18.75" x14ac:dyDescent="0.3">
      <c r="B37"/>
      <c r="C37"/>
      <c r="D37"/>
      <c r="E37"/>
      <c r="F37"/>
      <c r="G37"/>
      <c r="H37"/>
      <c r="I37"/>
      <c r="J37"/>
      <c r="N37"/>
      <c r="O37"/>
      <c r="P37"/>
      <c r="Q37"/>
      <c r="R37"/>
      <c r="S37"/>
      <c r="T37"/>
      <c r="U37"/>
      <c r="V37"/>
      <c r="W37"/>
      <c r="X37"/>
    </row>
    <row r="38" spans="2:25" s="30" customFormat="1" ht="18.75" x14ac:dyDescent="0.3">
      <c r="B38"/>
      <c r="C38"/>
      <c r="D38"/>
      <c r="E38"/>
      <c r="F38"/>
      <c r="G38"/>
      <c r="H38"/>
      <c r="I38"/>
      <c r="J38"/>
      <c r="K38"/>
      <c r="L38"/>
      <c r="N38"/>
      <c r="O38"/>
      <c r="P38"/>
      <c r="Q38"/>
      <c r="R38"/>
      <c r="S38"/>
      <c r="T38"/>
      <c r="U38"/>
      <c r="V38"/>
      <c r="W38"/>
      <c r="X38"/>
    </row>
    <row r="39" spans="2:25" ht="18.75" x14ac:dyDescent="0.3">
      <c r="Y39" s="30"/>
    </row>
  </sheetData>
  <mergeCells count="9">
    <mergeCell ref="B14:C14"/>
    <mergeCell ref="D15:F15"/>
    <mergeCell ref="G15:H15"/>
    <mergeCell ref="C9:E9"/>
    <mergeCell ref="M2:V2"/>
    <mergeCell ref="M10:N10"/>
    <mergeCell ref="O11:Q11"/>
    <mergeCell ref="R11:S11"/>
    <mergeCell ref="B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6C98-D06A-4E2E-A718-BBB3C9E37606}">
  <sheetPr>
    <tabColor rgb="FF0070C0"/>
  </sheetPr>
  <dimension ref="A1:AC36"/>
  <sheetViews>
    <sheetView workbookViewId="0">
      <selection activeCell="AH19" sqref="AH19"/>
    </sheetView>
  </sheetViews>
  <sheetFormatPr defaultRowHeight="15.75" x14ac:dyDescent="0.25"/>
  <cols>
    <col min="2" max="2" width="8.5703125" style="186" customWidth="1"/>
    <col min="3" max="4" width="8.5703125" style="191" customWidth="1"/>
    <col min="5" max="5" width="8.5703125" style="186" customWidth="1"/>
    <col min="6" max="7" width="8.5703125" style="191" customWidth="1"/>
    <col min="8" max="8" width="8.5703125" style="186" customWidth="1"/>
    <col min="9" max="9" width="8.5703125" style="145" customWidth="1"/>
    <col min="10" max="10" width="8.5703125" style="215" customWidth="1"/>
    <col min="11" max="13" width="8.5703125" style="145" customWidth="1"/>
    <col min="15" max="15" width="8.5703125" style="186" customWidth="1"/>
    <col min="16" max="17" width="8.5703125" style="191" customWidth="1"/>
    <col min="18" max="18" width="8.5703125" style="186" customWidth="1"/>
    <col min="19" max="20" width="8.5703125" style="191" customWidth="1"/>
    <col min="21" max="21" width="8.5703125" style="186" customWidth="1"/>
    <col min="22" max="22" width="8.5703125" style="145" customWidth="1"/>
    <col min="23" max="23" width="8.5703125" style="215" customWidth="1"/>
    <col min="24" max="27" width="8.5703125" style="145" customWidth="1"/>
  </cols>
  <sheetData>
    <row r="1" spans="1:27" s="30" customFormat="1" ht="18.75" x14ac:dyDescent="0.3">
      <c r="B1" s="259" t="s">
        <v>245</v>
      </c>
      <c r="C1" s="259"/>
      <c r="D1" s="259"/>
      <c r="E1" s="259"/>
      <c r="F1" s="259"/>
      <c r="G1" s="259"/>
      <c r="H1" s="259"/>
      <c r="I1" s="259"/>
      <c r="J1" s="259"/>
      <c r="K1" s="259"/>
      <c r="L1" s="404"/>
      <c r="M1" s="105"/>
      <c r="O1" s="259" t="s">
        <v>245</v>
      </c>
      <c r="P1" s="259"/>
      <c r="Q1" s="259"/>
      <c r="R1" s="259"/>
      <c r="S1" s="259"/>
      <c r="T1" s="259"/>
      <c r="U1" s="259"/>
      <c r="V1" s="259"/>
      <c r="W1" s="259"/>
      <c r="X1" s="259"/>
      <c r="Y1" s="404"/>
      <c r="Z1" s="105"/>
    </row>
    <row r="2" spans="1:27" ht="19.5" thickBot="1" x14ac:dyDescent="0.3">
      <c r="B2" s="601" t="s">
        <v>284</v>
      </c>
      <c r="C2" s="601"/>
      <c r="D2" s="601"/>
      <c r="E2" s="601"/>
      <c r="F2" s="601"/>
      <c r="G2" s="601"/>
      <c r="H2" s="601"/>
      <c r="I2" s="601"/>
      <c r="J2" s="601"/>
      <c r="K2" s="601"/>
      <c r="L2" s="105"/>
      <c r="M2" s="105"/>
      <c r="N2" s="601" t="s">
        <v>284</v>
      </c>
      <c r="O2" s="601"/>
      <c r="P2" s="601"/>
      <c r="Q2" s="601"/>
      <c r="R2" s="601"/>
      <c r="S2" s="601"/>
      <c r="T2" s="601"/>
      <c r="U2" s="601"/>
      <c r="V2" s="601"/>
      <c r="W2" s="601"/>
      <c r="X2" s="105"/>
      <c r="Y2"/>
      <c r="Z2"/>
      <c r="AA2"/>
    </row>
    <row r="3" spans="1:27" ht="33.75" thickBot="1" x14ac:dyDescent="0.4">
      <c r="B3" s="485" t="s">
        <v>160</v>
      </c>
      <c r="C3" s="468" t="s">
        <v>159</v>
      </c>
      <c r="D3" s="469" t="s">
        <v>158</v>
      </c>
      <c r="E3" s="470" t="s">
        <v>157</v>
      </c>
      <c r="F3" s="471" t="s">
        <v>156</v>
      </c>
      <c r="G3" s="486" t="s">
        <v>155</v>
      </c>
      <c r="H3" s="487" t="s">
        <v>154</v>
      </c>
      <c r="I3" s="473" t="s">
        <v>153</v>
      </c>
      <c r="J3" s="474" t="s">
        <v>152</v>
      </c>
      <c r="K3" s="475" t="s">
        <v>279</v>
      </c>
      <c r="L3" s="93"/>
      <c r="M3" s="93"/>
      <c r="N3" s="485" t="s">
        <v>160</v>
      </c>
      <c r="O3" s="468" t="s">
        <v>159</v>
      </c>
      <c r="P3" s="469" t="s">
        <v>158</v>
      </c>
      <c r="Q3" s="470" t="s">
        <v>157</v>
      </c>
      <c r="R3" s="471" t="s">
        <v>156</v>
      </c>
      <c r="S3" s="486" t="s">
        <v>155</v>
      </c>
      <c r="T3" s="487" t="s">
        <v>154</v>
      </c>
      <c r="U3" s="473" t="s">
        <v>153</v>
      </c>
      <c r="V3" s="474" t="s">
        <v>152</v>
      </c>
      <c r="W3" s="475" t="s">
        <v>279</v>
      </c>
      <c r="X3" s="93"/>
      <c r="Y3"/>
      <c r="Z3"/>
      <c r="AA3"/>
    </row>
    <row r="4" spans="1:27" ht="21" x14ac:dyDescent="0.35">
      <c r="B4" s="308" t="s">
        <v>147</v>
      </c>
      <c r="C4" s="344">
        <v>203</v>
      </c>
      <c r="D4" s="345">
        <f>C4/C7</f>
        <v>0.3752310536044362</v>
      </c>
      <c r="E4" s="308"/>
      <c r="F4" s="321"/>
      <c r="G4" s="322"/>
      <c r="H4" s="323" t="s">
        <v>147</v>
      </c>
      <c r="I4" s="351">
        <f>G5*G5</f>
        <v>0.36534315517577154</v>
      </c>
      <c r="J4" s="352">
        <f xml:space="preserve"> ROUND(I4*C7,0)</f>
        <v>198</v>
      </c>
      <c r="K4" s="462">
        <f>(C4-J4)^2 / J4</f>
        <v>0.12626262626262627</v>
      </c>
      <c r="L4" s="9"/>
      <c r="M4" s="9"/>
      <c r="N4" s="308" t="s">
        <v>147</v>
      </c>
      <c r="O4" s="387">
        <v>15</v>
      </c>
      <c r="P4" s="345">
        <f>O4/O7</f>
        <v>0.27777777777777779</v>
      </c>
      <c r="Q4" s="308"/>
      <c r="R4" s="321"/>
      <c r="S4" s="322"/>
      <c r="T4" s="323" t="s">
        <v>147</v>
      </c>
      <c r="U4" s="351">
        <f>S5*S5</f>
        <v>0.29843964334705075</v>
      </c>
      <c r="V4" s="352">
        <f xml:space="preserve"> ROUND(U4*O7,0)</f>
        <v>16</v>
      </c>
      <c r="W4" s="462">
        <f>(O4-V4)^2 / V4</f>
        <v>6.25E-2</v>
      </c>
      <c r="X4" s="9"/>
      <c r="Y4"/>
      <c r="Z4"/>
      <c r="AA4"/>
    </row>
    <row r="5" spans="1:27" ht="21" x14ac:dyDescent="0.35">
      <c r="B5" s="327" t="s">
        <v>146</v>
      </c>
      <c r="C5" s="346">
        <v>248</v>
      </c>
      <c r="D5" s="347">
        <f>C5/C7</f>
        <v>0.45841035120147872</v>
      </c>
      <c r="E5" s="327" t="s">
        <v>228</v>
      </c>
      <c r="F5" s="87">
        <f xml:space="preserve"> 2*C4 + C5</f>
        <v>654</v>
      </c>
      <c r="G5" s="299">
        <f>F5/(2 * C7)</f>
        <v>0.60443622920517559</v>
      </c>
      <c r="H5" s="331" t="s">
        <v>146</v>
      </c>
      <c r="I5" s="353">
        <f>2*G5*G6</f>
        <v>0.47818614805880805</v>
      </c>
      <c r="J5" s="188">
        <f xml:space="preserve"> ROUND(I5*C7,0)</f>
        <v>259</v>
      </c>
      <c r="K5" s="463">
        <f xml:space="preserve"> (C5-J5)^2 / J5</f>
        <v>0.46718146718146719</v>
      </c>
      <c r="L5" s="9"/>
      <c r="M5" s="9"/>
      <c r="N5" s="327" t="s">
        <v>146</v>
      </c>
      <c r="O5" s="304">
        <v>29</v>
      </c>
      <c r="P5" s="347">
        <f>O5/O7</f>
        <v>0.53703703703703709</v>
      </c>
      <c r="Q5" s="327" t="s">
        <v>228</v>
      </c>
      <c r="R5" s="87">
        <f xml:space="preserve"> 2*O4 + O5</f>
        <v>59</v>
      </c>
      <c r="S5" s="393">
        <f>R5/(2 * O7)</f>
        <v>0.54629629629629628</v>
      </c>
      <c r="T5" s="331" t="s">
        <v>146</v>
      </c>
      <c r="U5" s="353">
        <f>2*S5*S6</f>
        <v>0.49571330589849111</v>
      </c>
      <c r="V5" s="188">
        <f xml:space="preserve"> ROUND(U5*O7,0)</f>
        <v>27</v>
      </c>
      <c r="W5" s="463">
        <f xml:space="preserve"> (O5-V5)^2 / V5</f>
        <v>0.14814814814814814</v>
      </c>
      <c r="X5" s="9"/>
      <c r="Y5"/>
      <c r="Z5"/>
      <c r="AA5"/>
    </row>
    <row r="6" spans="1:27" ht="21.75" thickBot="1" x14ac:dyDescent="0.4">
      <c r="B6" s="309" t="s">
        <v>145</v>
      </c>
      <c r="C6" s="348">
        <v>90</v>
      </c>
      <c r="D6" s="349">
        <f>C6/C7</f>
        <v>0.16635859519408502</v>
      </c>
      <c r="E6" s="309" t="s">
        <v>218</v>
      </c>
      <c r="F6" s="360">
        <f xml:space="preserve"> C5 + 2*C6</f>
        <v>428</v>
      </c>
      <c r="G6" s="361">
        <f>F6/ (2 * C7)</f>
        <v>0.39556377079482441</v>
      </c>
      <c r="H6" s="339" t="s">
        <v>145</v>
      </c>
      <c r="I6" s="354">
        <f>G6*G6</f>
        <v>0.15647069676542039</v>
      </c>
      <c r="J6" s="355">
        <f xml:space="preserve"> ROUND(I6*C7,0)</f>
        <v>85</v>
      </c>
      <c r="K6" s="464">
        <f>(C6-J6)^2 / J6</f>
        <v>0.29411764705882354</v>
      </c>
      <c r="L6" s="9"/>
      <c r="M6" s="9"/>
      <c r="N6" s="309" t="s">
        <v>145</v>
      </c>
      <c r="O6" s="388">
        <v>10</v>
      </c>
      <c r="P6" s="349">
        <f>O6/O7</f>
        <v>0.18518518518518517</v>
      </c>
      <c r="Q6" s="309" t="s">
        <v>218</v>
      </c>
      <c r="R6" s="360">
        <f xml:space="preserve"> O5 + 2*O6</f>
        <v>49</v>
      </c>
      <c r="S6" s="394">
        <f>R6/ (2 * O7)</f>
        <v>0.45370370370370372</v>
      </c>
      <c r="T6" s="339" t="s">
        <v>145</v>
      </c>
      <c r="U6" s="354">
        <f>S6*S6</f>
        <v>0.20584705075445817</v>
      </c>
      <c r="V6" s="355">
        <f xml:space="preserve"> ROUND(U6*O7,0)</f>
        <v>11</v>
      </c>
      <c r="W6" s="464">
        <f>(O6-V6)^2 / V6</f>
        <v>9.0909090909090912E-2</v>
      </c>
      <c r="X6" s="9"/>
      <c r="Y6"/>
      <c r="Z6"/>
      <c r="AA6"/>
    </row>
    <row r="7" spans="1:27" ht="23.25" x14ac:dyDescent="0.35">
      <c r="B7" s="4"/>
      <c r="C7" s="203">
        <f>SUM(C4:C6)</f>
        <v>541</v>
      </c>
      <c r="D7" s="350">
        <f>SUM(D4:D6)</f>
        <v>0.99999999999999989</v>
      </c>
      <c r="E7" s="92"/>
      <c r="F7" s="203">
        <f>SUM(F4:F6)</f>
        <v>1082</v>
      </c>
      <c r="G7" s="350">
        <f>SUM(G4:G6)</f>
        <v>1</v>
      </c>
      <c r="H7" s="103"/>
      <c r="I7" s="356">
        <f>SUM(I4:I6)</f>
        <v>1</v>
      </c>
      <c r="J7" s="357">
        <f>SUM(J4:J6)</f>
        <v>542</v>
      </c>
      <c r="K7" s="358"/>
      <c r="L7" s="359"/>
      <c r="M7"/>
      <c r="N7" s="4"/>
      <c r="O7" s="203">
        <f>SUM(O4:O6)</f>
        <v>54</v>
      </c>
      <c r="P7" s="350">
        <f>SUM(P4:P6)</f>
        <v>1</v>
      </c>
      <c r="Q7" s="92"/>
      <c r="R7" s="203">
        <f>SUM(R4:R6)</f>
        <v>108</v>
      </c>
      <c r="S7" s="350">
        <f>SUM(S4:S6)</f>
        <v>1</v>
      </c>
      <c r="T7" s="103"/>
      <c r="U7" s="356">
        <f>SUM(U4:U6)</f>
        <v>1</v>
      </c>
      <c r="V7" s="357">
        <f>SUM(V4:V6)</f>
        <v>54</v>
      </c>
      <c r="W7" s="358"/>
      <c r="X7" s="359"/>
      <c r="Y7" s="93"/>
      <c r="Z7"/>
      <c r="AA7"/>
    </row>
    <row r="8" spans="1:27" ht="23.25" x14ac:dyDescent="0.35">
      <c r="B8" s="92"/>
      <c r="C8" s="99"/>
      <c r="D8" s="101"/>
      <c r="E8" s="92"/>
      <c r="F8" s="104"/>
      <c r="G8" s="104"/>
      <c r="H8" s="98"/>
      <c r="I8" s="93"/>
      <c r="J8" s="97"/>
      <c r="K8" s="465">
        <f>SUM(K4:K6)</f>
        <v>0.88756174050291703</v>
      </c>
      <c r="M8"/>
      <c r="N8" s="92"/>
      <c r="O8" s="99"/>
      <c r="P8" s="101"/>
      <c r="Q8" s="92"/>
      <c r="R8" s="104"/>
      <c r="S8" s="104"/>
      <c r="T8" s="98"/>
      <c r="U8" s="93"/>
      <c r="V8" s="97"/>
      <c r="W8" s="296">
        <f>SUM(W4:W6)</f>
        <v>0.30155723905723908</v>
      </c>
      <c r="Y8" s="93"/>
      <c r="Z8"/>
      <c r="AA8"/>
    </row>
    <row r="9" spans="1:27" ht="19.5" thickBot="1" x14ac:dyDescent="0.3">
      <c r="B9" s="396"/>
      <c r="C9" s="397" t="s">
        <v>150</v>
      </c>
      <c r="D9" s="398">
        <f xml:space="preserve"> D5</f>
        <v>0.45841035120147872</v>
      </c>
      <c r="E9" s="224"/>
      <c r="F9" s="225"/>
      <c r="G9" s="226"/>
      <c r="H9" s="201"/>
      <c r="I9" s="201"/>
      <c r="J9" s="201"/>
      <c r="K9" s="201"/>
      <c r="L9" s="201"/>
      <c r="M9"/>
      <c r="N9" s="396"/>
      <c r="O9" s="397" t="s">
        <v>285</v>
      </c>
      <c r="P9" s="398">
        <f xml:space="preserve"> P5</f>
        <v>0.53703703703703709</v>
      </c>
      <c r="Q9" s="224"/>
      <c r="R9" s="225"/>
      <c r="S9" s="226"/>
      <c r="T9" s="201"/>
      <c r="U9" s="201"/>
      <c r="V9" s="201"/>
      <c r="W9" s="201"/>
      <c r="X9" s="201"/>
      <c r="Y9" s="201"/>
      <c r="Z9" s="201"/>
      <c r="AA9"/>
    </row>
    <row r="10" spans="1:27" ht="19.5" thickBot="1" x14ac:dyDescent="0.3">
      <c r="B10" s="399"/>
      <c r="C10" s="397" t="s">
        <v>149</v>
      </c>
      <c r="D10" s="400">
        <f xml:space="preserve"> I5</f>
        <v>0.47818614805880805</v>
      </c>
      <c r="E10" s="224"/>
      <c r="F10" s="223"/>
      <c r="G10" s="223"/>
      <c r="H10" s="227"/>
      <c r="I10" s="602" t="s">
        <v>142</v>
      </c>
      <c r="J10" s="602"/>
      <c r="K10" s="603"/>
      <c r="L10" s="201"/>
      <c r="M10"/>
      <c r="N10" s="399"/>
      <c r="O10" s="397" t="s">
        <v>286</v>
      </c>
      <c r="P10" s="400">
        <f xml:space="preserve"> U5</f>
        <v>0.49571330589849111</v>
      </c>
      <c r="Q10" s="224"/>
      <c r="R10" s="223"/>
      <c r="S10" s="223"/>
      <c r="T10" s="201"/>
      <c r="U10" s="201"/>
      <c r="V10" s="201"/>
      <c r="W10"/>
      <c r="X10"/>
      <c r="Y10"/>
      <c r="Z10"/>
      <c r="AA10"/>
    </row>
    <row r="11" spans="1:27" ht="19.5" thickBot="1" x14ac:dyDescent="0.3">
      <c r="A11" s="604" t="s">
        <v>287</v>
      </c>
      <c r="B11" s="604"/>
      <c r="C11" s="604"/>
      <c r="D11" s="401">
        <f>(D9 - D10)/D10</f>
        <v>-4.1355854697190587E-2</v>
      </c>
      <c r="E11" s="224"/>
      <c r="F11" s="223"/>
      <c r="G11" s="223"/>
      <c r="H11" s="228" t="s">
        <v>23</v>
      </c>
      <c r="I11" s="229" t="s">
        <v>239</v>
      </c>
      <c r="J11" s="230" t="s">
        <v>240</v>
      </c>
      <c r="K11" s="231" t="s">
        <v>241</v>
      </c>
      <c r="L11" s="201"/>
      <c r="M11" s="402"/>
      <c r="N11" s="402"/>
      <c r="O11" s="402" t="s">
        <v>287</v>
      </c>
      <c r="P11" s="401">
        <f>(P9 - P10)/P10</f>
        <v>8.3362158422691165E-2</v>
      </c>
      <c r="Q11" s="224"/>
      <c r="R11" s="223"/>
      <c r="S11" s="223"/>
      <c r="T11" s="201"/>
      <c r="U11" s="201"/>
      <c r="V11" s="201"/>
      <c r="W11"/>
      <c r="X11"/>
      <c r="Y11"/>
      <c r="Z11"/>
      <c r="AA11"/>
    </row>
    <row r="12" spans="1:27" x14ac:dyDescent="0.25">
      <c r="B12" s="224"/>
      <c r="C12" s="223"/>
      <c r="D12" s="223"/>
      <c r="E12" s="224"/>
      <c r="F12" s="223"/>
      <c r="G12" s="223"/>
      <c r="H12" s="232">
        <v>1</v>
      </c>
      <c r="I12" s="233">
        <v>3.8410000000000002</v>
      </c>
      <c r="J12" s="234">
        <v>6.6349999999999998</v>
      </c>
      <c r="K12" s="235">
        <v>78.150000000000006</v>
      </c>
      <c r="L12" s="201"/>
      <c r="M12"/>
      <c r="N12" s="224"/>
      <c r="O12" s="223"/>
      <c r="P12" s="223"/>
      <c r="Q12" s="224"/>
      <c r="R12" s="223"/>
      <c r="S12" s="223"/>
      <c r="T12" s="201"/>
      <c r="U12" s="201"/>
      <c r="V12" s="201"/>
      <c r="W12"/>
      <c r="X12"/>
      <c r="Y12"/>
      <c r="Z12"/>
      <c r="AA12"/>
    </row>
    <row r="13" spans="1:27" ht="19.5" thickBot="1" x14ac:dyDescent="0.35">
      <c r="B13" s="224"/>
      <c r="C13" s="223"/>
      <c r="D13" s="223"/>
      <c r="E13" s="224"/>
      <c r="F13" s="223"/>
      <c r="G13" s="223"/>
      <c r="H13" s="236">
        <v>2</v>
      </c>
      <c r="I13" s="237">
        <v>5.9909999999999997</v>
      </c>
      <c r="J13" s="238">
        <v>9.2100000000000009</v>
      </c>
      <c r="K13" s="239">
        <v>11.345000000000001</v>
      </c>
      <c r="L13" s="201"/>
      <c r="M13" s="201"/>
      <c r="N13" s="30"/>
      <c r="O13" s="30"/>
      <c r="P13" s="30"/>
      <c r="Q13" s="605" t="s">
        <v>242</v>
      </c>
      <c r="R13" s="605"/>
      <c r="S13" s="605"/>
      <c r="T13" s="605" t="s">
        <v>243</v>
      </c>
      <c r="U13" s="605"/>
      <c r="V13" s="56"/>
      <c r="W13" s="56"/>
      <c r="Y13"/>
      <c r="Z13"/>
      <c r="AA13"/>
    </row>
    <row r="14" spans="1:27" ht="19.5" thickBot="1" x14ac:dyDescent="0.35">
      <c r="B14" s="598" t="s">
        <v>189</v>
      </c>
      <c r="C14" s="598"/>
      <c r="D14" s="223"/>
      <c r="E14" s="224"/>
      <c r="F14" s="223"/>
      <c r="G14" s="223"/>
      <c r="H14" s="365"/>
      <c r="I14" s="366"/>
      <c r="J14" s="366"/>
      <c r="K14" s="366"/>
      <c r="L14" s="201"/>
      <c r="M14" s="201"/>
      <c r="N14" s="30"/>
      <c r="O14" s="59" t="s">
        <v>49</v>
      </c>
      <c r="P14" s="369" t="s">
        <v>32</v>
      </c>
      <c r="Q14" s="24" t="s">
        <v>147</v>
      </c>
      <c r="R14" s="24" t="s">
        <v>146</v>
      </c>
      <c r="S14" s="24" t="s">
        <v>145</v>
      </c>
      <c r="T14" s="36" t="s">
        <v>228</v>
      </c>
      <c r="U14" s="36" t="s">
        <v>218</v>
      </c>
      <c r="V14" s="24" t="s">
        <v>10</v>
      </c>
      <c r="W14" s="24"/>
      <c r="X14" s="215"/>
      <c r="Y14" s="201"/>
      <c r="Z14" s="201"/>
      <c r="AA14"/>
    </row>
    <row r="15" spans="1:27" ht="18.75" x14ac:dyDescent="0.3">
      <c r="N15" s="30"/>
      <c r="O15" s="370" t="s">
        <v>231</v>
      </c>
      <c r="P15" s="371">
        <v>54</v>
      </c>
      <c r="Q15" s="372">
        <v>15</v>
      </c>
      <c r="R15" s="373">
        <v>29</v>
      </c>
      <c r="S15" s="373">
        <v>10</v>
      </c>
      <c r="T15" s="216">
        <v>0.54629629629629628</v>
      </c>
      <c r="U15" s="217">
        <v>0.45370370370370372</v>
      </c>
      <c r="V15" s="242">
        <v>8.3362158422691165E-2</v>
      </c>
      <c r="W15" s="243">
        <v>0.30155723905723908</v>
      </c>
      <c r="X15" s="403" t="s">
        <v>176</v>
      </c>
      <c r="AA15"/>
    </row>
    <row r="16" spans="1:27" s="145" customFormat="1" ht="18.75" x14ac:dyDescent="0.3">
      <c r="A16" s="211"/>
      <c r="C16" s="43" t="s">
        <v>359</v>
      </c>
      <c r="D16" s="191"/>
      <c r="E16" s="191"/>
      <c r="F16" s="186"/>
      <c r="G16" s="191"/>
      <c r="H16" s="191"/>
      <c r="I16" s="186"/>
      <c r="K16" s="215"/>
      <c r="P16" s="186"/>
      <c r="Q16" s="191"/>
      <c r="R16" s="191"/>
      <c r="S16" s="186"/>
      <c r="T16" s="191"/>
      <c r="U16" s="191"/>
      <c r="V16" s="186"/>
      <c r="X16" s="215"/>
    </row>
    <row r="17" spans="1:29" s="145" customFormat="1" x14ac:dyDescent="0.25">
      <c r="E17" s="599" t="s">
        <v>242</v>
      </c>
      <c r="F17" s="599"/>
      <c r="G17" s="599"/>
      <c r="H17" s="600" t="s">
        <v>243</v>
      </c>
      <c r="I17" s="600"/>
      <c r="J17" s="600"/>
      <c r="K17" s="600"/>
      <c r="L17" s="600"/>
      <c r="O17" s="244"/>
      <c r="P17" s="210"/>
      <c r="Q17" s="210"/>
      <c r="R17" s="211"/>
      <c r="S17" s="211"/>
      <c r="T17" s="211"/>
      <c r="U17" s="211"/>
      <c r="V17" s="211"/>
      <c r="W17" s="368"/>
      <c r="Z17" s="367"/>
      <c r="AA17" s="367"/>
      <c r="AB17" s="367"/>
      <c r="AC17" s="367"/>
    </row>
    <row r="18" spans="1:29" s="145" customFormat="1" ht="21.75" thickBot="1" x14ac:dyDescent="0.4">
      <c r="C18" s="59" t="s">
        <v>49</v>
      </c>
      <c r="D18" s="369" t="s">
        <v>32</v>
      </c>
      <c r="E18" s="24" t="s">
        <v>147</v>
      </c>
      <c r="F18" s="24" t="s">
        <v>146</v>
      </c>
      <c r="G18" s="24" t="s">
        <v>145</v>
      </c>
      <c r="H18" s="36" t="s">
        <v>228</v>
      </c>
      <c r="I18" s="36" t="s">
        <v>218</v>
      </c>
      <c r="J18" s="24" t="s">
        <v>10</v>
      </c>
      <c r="K18" s="24"/>
      <c r="L18" s="110"/>
      <c r="N18" s="13" t="s">
        <v>271</v>
      </c>
      <c r="O18" s="85"/>
      <c r="P18"/>
      <c r="Q18"/>
      <c r="R18" s="303"/>
      <c r="S18" s="303"/>
      <c r="T18" s="303"/>
      <c r="U18"/>
      <c r="V18"/>
    </row>
    <row r="19" spans="1:29" s="145" customFormat="1" ht="18.75" x14ac:dyDescent="0.3">
      <c r="C19" s="370" t="s">
        <v>231</v>
      </c>
      <c r="D19" s="482">
        <v>54</v>
      </c>
      <c r="E19" s="483">
        <v>15</v>
      </c>
      <c r="F19" s="484">
        <v>29</v>
      </c>
      <c r="G19" s="484">
        <v>10</v>
      </c>
      <c r="H19" s="478"/>
      <c r="I19" s="479"/>
      <c r="J19" s="480"/>
      <c r="K19" s="481"/>
      <c r="N19" s="86" t="s">
        <v>270</v>
      </c>
      <c r="O19" s="30"/>
      <c r="P19" s="30"/>
      <c r="Q19"/>
      <c r="R19"/>
      <c r="S19"/>
      <c r="T19"/>
      <c r="U19"/>
      <c r="V19"/>
    </row>
    <row r="20" spans="1:29" s="145" customFormat="1" ht="18.75" x14ac:dyDescent="0.3">
      <c r="C20" s="87" t="s">
        <v>232</v>
      </c>
      <c r="D20" s="374">
        <v>59</v>
      </c>
      <c r="E20" s="375">
        <v>20</v>
      </c>
      <c r="F20" s="376">
        <v>35</v>
      </c>
      <c r="G20" s="376">
        <v>4</v>
      </c>
      <c r="H20" s="382"/>
      <c r="I20" s="383"/>
      <c r="J20" s="389"/>
      <c r="K20" s="390"/>
      <c r="N20" s="30" t="s">
        <v>290</v>
      </c>
      <c r="O20" s="30"/>
      <c r="P20" s="30"/>
      <c r="Q20"/>
      <c r="R20"/>
      <c r="S20"/>
      <c r="T20"/>
      <c r="U20"/>
      <c r="V20"/>
    </row>
    <row r="21" spans="1:29" s="145" customFormat="1" ht="18.75" x14ac:dyDescent="0.3">
      <c r="C21" s="87" t="s">
        <v>233</v>
      </c>
      <c r="D21" s="377">
        <v>54</v>
      </c>
      <c r="E21" s="375">
        <v>11</v>
      </c>
      <c r="F21" s="376">
        <v>36</v>
      </c>
      <c r="G21" s="376">
        <v>7</v>
      </c>
      <c r="H21" s="382"/>
      <c r="I21" s="383"/>
      <c r="J21" s="389"/>
      <c r="K21" s="390"/>
      <c r="M21" s="244"/>
      <c r="N21" s="30"/>
      <c r="O21" s="292" t="s">
        <v>360</v>
      </c>
      <c r="P21" s="30"/>
      <c r="Q21"/>
      <c r="R21"/>
      <c r="S21"/>
      <c r="T21"/>
      <c r="U21"/>
      <c r="V21"/>
    </row>
    <row r="22" spans="1:29" s="145" customFormat="1" ht="18.75" x14ac:dyDescent="0.3">
      <c r="C22" s="87" t="s">
        <v>234</v>
      </c>
      <c r="D22" s="374">
        <v>59</v>
      </c>
      <c r="E22" s="375">
        <v>43</v>
      </c>
      <c r="F22" s="376">
        <v>7</v>
      </c>
      <c r="G22" s="376">
        <v>9</v>
      </c>
      <c r="H22" s="382"/>
      <c r="I22" s="383"/>
      <c r="J22" s="389"/>
      <c r="K22" s="390"/>
      <c r="M22" s="191"/>
      <c r="N22" s="30"/>
      <c r="O22" s="292" t="s">
        <v>361</v>
      </c>
      <c r="P22" s="30"/>
      <c r="Q22"/>
      <c r="R22"/>
      <c r="S22"/>
      <c r="T22"/>
      <c r="U22"/>
      <c r="V22"/>
    </row>
    <row r="23" spans="1:29" s="145" customFormat="1" ht="18.75" x14ac:dyDescent="0.3">
      <c r="C23" s="87" t="s">
        <v>235</v>
      </c>
      <c r="D23" s="374">
        <v>49</v>
      </c>
      <c r="E23" s="375">
        <v>36</v>
      </c>
      <c r="F23" s="376">
        <v>8</v>
      </c>
      <c r="G23" s="376">
        <v>5</v>
      </c>
      <c r="H23" s="382"/>
      <c r="I23" s="383"/>
      <c r="J23" s="389"/>
      <c r="K23" s="390"/>
      <c r="M23" s="191"/>
      <c r="N23" s="30" t="s">
        <v>288</v>
      </c>
      <c r="O23" s="30"/>
      <c r="P23" s="30"/>
      <c r="Q23"/>
      <c r="R23"/>
      <c r="S23"/>
      <c r="T23"/>
      <c r="U23"/>
      <c r="V23"/>
    </row>
    <row r="24" spans="1:29" s="145" customFormat="1" ht="18.75" x14ac:dyDescent="0.3">
      <c r="C24" s="87" t="s">
        <v>236</v>
      </c>
      <c r="D24" s="374">
        <v>51</v>
      </c>
      <c r="E24" s="395">
        <v>17</v>
      </c>
      <c r="F24" s="378">
        <v>23</v>
      </c>
      <c r="G24" s="378">
        <v>11</v>
      </c>
      <c r="H24" s="382"/>
      <c r="I24" s="383"/>
      <c r="J24" s="389"/>
      <c r="K24" s="390"/>
      <c r="M24" s="191"/>
      <c r="N24" s="30"/>
      <c r="O24" s="30" t="s">
        <v>269</v>
      </c>
      <c r="P24" s="30"/>
      <c r="Q24"/>
      <c r="R24"/>
      <c r="S24"/>
      <c r="T24"/>
      <c r="U24"/>
      <c r="V24"/>
      <c r="W24" s="215"/>
    </row>
    <row r="25" spans="1:29" s="145" customFormat="1" ht="18.75" x14ac:dyDescent="0.3">
      <c r="C25" s="87" t="s">
        <v>237</v>
      </c>
      <c r="D25" s="374">
        <v>52</v>
      </c>
      <c r="E25" s="395">
        <v>20</v>
      </c>
      <c r="F25" s="378">
        <v>24</v>
      </c>
      <c r="G25" s="378">
        <v>8</v>
      </c>
      <c r="H25" s="382"/>
      <c r="I25" s="383"/>
      <c r="J25" s="389"/>
      <c r="K25" s="390"/>
      <c r="M25" s="191"/>
      <c r="N25" s="30"/>
      <c r="O25" s="30" t="s">
        <v>292</v>
      </c>
      <c r="P25" s="30"/>
      <c r="Q25"/>
      <c r="R25"/>
      <c r="S25"/>
      <c r="T25"/>
      <c r="U25"/>
      <c r="V25"/>
      <c r="W25" s="215"/>
    </row>
    <row r="26" spans="1:29" s="145" customFormat="1" ht="19.5" thickBot="1" x14ac:dyDescent="0.35">
      <c r="C26" s="87" t="s">
        <v>238</v>
      </c>
      <c r="D26" s="379">
        <v>163</v>
      </c>
      <c r="E26" s="380">
        <v>41</v>
      </c>
      <c r="F26" s="381">
        <v>86</v>
      </c>
      <c r="G26" s="381">
        <v>36</v>
      </c>
      <c r="H26" s="384"/>
      <c r="I26" s="385"/>
      <c r="J26" s="391"/>
      <c r="K26" s="392"/>
      <c r="M26" s="191"/>
      <c r="N26" s="30" t="s">
        <v>388</v>
      </c>
      <c r="O26" s="30"/>
      <c r="P26" s="30"/>
      <c r="Q26"/>
      <c r="R26"/>
      <c r="S26"/>
      <c r="T26"/>
      <c r="U26"/>
      <c r="V26"/>
      <c r="W26" s="215"/>
    </row>
    <row r="27" spans="1:29" s="145" customFormat="1" ht="18.75" x14ac:dyDescent="0.3">
      <c r="C27" s="186"/>
      <c r="D27" s="191"/>
      <c r="E27" s="191"/>
      <c r="F27" s="186"/>
      <c r="G27" s="191"/>
      <c r="H27" s="111"/>
      <c r="I27" s="111"/>
      <c r="J27" s="111"/>
      <c r="K27" s="111"/>
      <c r="M27" s="191"/>
      <c r="N27" s="30"/>
      <c r="O27" s="30" t="s">
        <v>293</v>
      </c>
      <c r="P27" s="30"/>
      <c r="Q27"/>
      <c r="R27"/>
      <c r="S27"/>
      <c r="T27"/>
      <c r="U27"/>
      <c r="V27"/>
      <c r="W27" s="215"/>
    </row>
    <row r="28" spans="1:29" s="145" customFormat="1" ht="18.75" x14ac:dyDescent="0.3">
      <c r="A28" s="111"/>
      <c r="C28" s="185" t="s">
        <v>244</v>
      </c>
      <c r="D28" s="378">
        <v>541</v>
      </c>
      <c r="E28" s="378">
        <v>203</v>
      </c>
      <c r="F28" s="378">
        <v>248</v>
      </c>
      <c r="G28" s="378">
        <v>90</v>
      </c>
      <c r="H28" s="218">
        <v>0.60443622920517559</v>
      </c>
      <c r="I28" s="218">
        <v>0.39556377079482441</v>
      </c>
      <c r="J28" s="111">
        <v>-4.1355854697190587E-2</v>
      </c>
      <c r="K28" s="111">
        <v>0.88756174050291703</v>
      </c>
      <c r="L28" s="111"/>
      <c r="N28" s="43" t="s">
        <v>389</v>
      </c>
      <c r="O28" s="87"/>
      <c r="P28" s="87"/>
      <c r="Q28"/>
      <c r="R28"/>
      <c r="S28"/>
      <c r="T28"/>
      <c r="U28"/>
      <c r="V28"/>
      <c r="W28" s="215"/>
    </row>
    <row r="29" spans="1:29" ht="18.75" x14ac:dyDescent="0.3">
      <c r="M29"/>
      <c r="N29" s="43"/>
      <c r="O29" s="43" t="s">
        <v>294</v>
      </c>
      <c r="P29" s="87"/>
      <c r="Q29" s="186"/>
      <c r="R29" s="191"/>
      <c r="T29" s="186"/>
      <c r="U29" s="145"/>
      <c r="V29" s="215"/>
      <c r="W29" s="145"/>
      <c r="AA29"/>
    </row>
    <row r="30" spans="1:29" ht="18.75" x14ac:dyDescent="0.3">
      <c r="M30"/>
      <c r="N30" s="43"/>
      <c r="O30" s="43" t="s">
        <v>295</v>
      </c>
      <c r="P30" s="87"/>
      <c r="Q30" s="186"/>
      <c r="R30" s="191"/>
      <c r="T30" s="186"/>
      <c r="U30" s="145"/>
      <c r="V30" s="215"/>
      <c r="W30" s="145"/>
      <c r="AA30"/>
    </row>
    <row r="31" spans="1:29" ht="18.75" x14ac:dyDescent="0.3">
      <c r="M31"/>
      <c r="N31" s="43"/>
      <c r="O31" s="43" t="s">
        <v>296</v>
      </c>
      <c r="P31" s="87"/>
      <c r="Q31" s="186"/>
      <c r="R31" s="191"/>
      <c r="T31" s="186"/>
      <c r="U31" s="145"/>
      <c r="V31" s="215"/>
      <c r="W31" s="145"/>
      <c r="AA31"/>
    </row>
    <row r="32" spans="1:29" ht="18.75" x14ac:dyDescent="0.3">
      <c r="M32"/>
      <c r="N32" s="416" t="s">
        <v>341</v>
      </c>
      <c r="O32" s="87"/>
      <c r="P32" s="87"/>
      <c r="Q32" s="186"/>
      <c r="R32" s="191"/>
      <c r="T32" s="186"/>
      <c r="U32" s="145"/>
      <c r="V32" s="215"/>
      <c r="W32" s="145"/>
      <c r="AA32"/>
    </row>
    <row r="33" spans="13:27" ht="18.75" x14ac:dyDescent="0.3">
      <c r="M33"/>
      <c r="N33" s="43"/>
      <c r="O33" s="416" t="s">
        <v>338</v>
      </c>
      <c r="P33" s="87"/>
      <c r="Q33" s="186"/>
      <c r="R33" s="191"/>
      <c r="T33" s="186"/>
      <c r="U33" s="145"/>
      <c r="V33" s="215"/>
      <c r="W33" s="145"/>
      <c r="AA33"/>
    </row>
    <row r="34" spans="13:27" ht="18.75" x14ac:dyDescent="0.3">
      <c r="M34"/>
      <c r="N34" s="43"/>
      <c r="O34" s="87"/>
      <c r="P34" s="87"/>
      <c r="Q34" s="186"/>
      <c r="R34" s="191"/>
      <c r="T34" s="186"/>
      <c r="U34" s="145"/>
      <c r="V34" s="215"/>
      <c r="W34" s="145"/>
      <c r="AA34"/>
    </row>
    <row r="35" spans="13:27" ht="18.75" x14ac:dyDescent="0.3">
      <c r="O35" s="43"/>
      <c r="P35" s="87"/>
      <c r="Q35" s="87"/>
    </row>
    <row r="36" spans="13:27" ht="18.75" x14ac:dyDescent="0.3">
      <c r="O36" s="43"/>
      <c r="P36" s="87"/>
      <c r="Q36" s="87"/>
    </row>
  </sheetData>
  <mergeCells count="9">
    <mergeCell ref="B14:C14"/>
    <mergeCell ref="E17:G17"/>
    <mergeCell ref="H17:L17"/>
    <mergeCell ref="B2:K2"/>
    <mergeCell ref="N2:W2"/>
    <mergeCell ref="I10:K10"/>
    <mergeCell ref="A11:C11"/>
    <mergeCell ref="Q13:S13"/>
    <mergeCell ref="T13:U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0F94-46DF-4C67-9888-204752DE7F7E}">
  <sheetPr>
    <tabColor rgb="FFFF0000"/>
  </sheetPr>
  <dimension ref="A1:R44"/>
  <sheetViews>
    <sheetView workbookViewId="0">
      <pane ySplit="2" topLeftCell="A18" activePane="bottomLeft" state="frozen"/>
      <selection pane="bottomLeft" activeCell="E56" sqref="E56"/>
    </sheetView>
  </sheetViews>
  <sheetFormatPr defaultRowHeight="15" x14ac:dyDescent="0.25"/>
  <cols>
    <col min="1" max="1" width="2.7109375" customWidth="1"/>
    <col min="6" max="6" width="10.5703125" customWidth="1"/>
    <col min="8" max="8" width="11.42578125" bestFit="1" customWidth="1"/>
  </cols>
  <sheetData>
    <row r="1" spans="2:12" x14ac:dyDescent="0.25">
      <c r="B1" s="606" t="s">
        <v>245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</row>
    <row r="2" spans="2:12" s="3" customFormat="1" ht="21" x14ac:dyDescent="0.35">
      <c r="B2" s="60" t="s">
        <v>304</v>
      </c>
      <c r="C2" s="60"/>
      <c r="D2" s="60"/>
      <c r="E2" s="60"/>
      <c r="F2" s="60"/>
      <c r="G2" s="60"/>
      <c r="H2" s="32"/>
      <c r="I2" s="32"/>
      <c r="J2" s="32"/>
    </row>
    <row r="3" spans="2:12" s="3" customFormat="1" ht="21.75" thickBot="1" x14ac:dyDescent="0.4"/>
    <row r="4" spans="2:12" s="30" customFormat="1" ht="21.75" thickBot="1" x14ac:dyDescent="0.4">
      <c r="C4" s="5" t="s">
        <v>30</v>
      </c>
      <c r="D4" s="40" t="s">
        <v>31</v>
      </c>
      <c r="E4" s="162" t="s">
        <v>22</v>
      </c>
      <c r="F4" s="8" t="s">
        <v>200</v>
      </c>
      <c r="H4" s="16"/>
      <c r="I4" s="585" t="s">
        <v>142</v>
      </c>
      <c r="J4" s="585"/>
      <c r="K4" s="586"/>
    </row>
    <row r="5" spans="2:12" s="30" customFormat="1" ht="21.75" thickBot="1" x14ac:dyDescent="0.35">
      <c r="B5" s="56" t="s">
        <v>54</v>
      </c>
      <c r="C5" s="292">
        <v>88</v>
      </c>
      <c r="D5" s="414">
        <v>72</v>
      </c>
      <c r="E5" s="35">
        <f>C5 - D5</f>
        <v>16</v>
      </c>
      <c r="F5" s="35">
        <f>E5^2/((C5+D5)/2)</f>
        <v>3.2</v>
      </c>
      <c r="H5" s="80"/>
      <c r="I5" s="124" t="s">
        <v>173</v>
      </c>
      <c r="J5" s="125" t="s">
        <v>174</v>
      </c>
      <c r="K5" s="126" t="s">
        <v>175</v>
      </c>
    </row>
    <row r="6" spans="2:12" s="30" customFormat="1" ht="21.75" thickBot="1" x14ac:dyDescent="0.4">
      <c r="B6" s="56" t="s">
        <v>55</v>
      </c>
      <c r="C6" s="292">
        <v>26</v>
      </c>
      <c r="D6" s="414">
        <v>46</v>
      </c>
      <c r="E6" s="35">
        <f>C6 - D6</f>
        <v>-20</v>
      </c>
      <c r="F6" s="35">
        <f t="shared" ref="F6:F8" si="0">E6^2/((C6+D6)/2)</f>
        <v>11.111111111111111</v>
      </c>
      <c r="H6" s="20" t="s">
        <v>347</v>
      </c>
      <c r="I6" s="447">
        <v>7.8150000000000004</v>
      </c>
      <c r="J6" s="448">
        <v>11.345000000000001</v>
      </c>
      <c r="K6" s="449">
        <v>16.265999999999998</v>
      </c>
    </row>
    <row r="7" spans="2:12" s="30" customFormat="1" ht="18.75" x14ac:dyDescent="0.3">
      <c r="B7" s="56" t="s">
        <v>58</v>
      </c>
      <c r="C7" s="292">
        <v>10</v>
      </c>
      <c r="D7" s="414">
        <v>16</v>
      </c>
      <c r="E7" s="35">
        <f>C7 - D7</f>
        <v>-6</v>
      </c>
      <c r="F7" s="35">
        <f t="shared" si="0"/>
        <v>2.7692307692307692</v>
      </c>
    </row>
    <row r="8" spans="2:12" s="30" customFormat="1" ht="18.75" x14ac:dyDescent="0.3">
      <c r="B8" s="56" t="s">
        <v>56</v>
      </c>
      <c r="C8" s="292">
        <v>76</v>
      </c>
      <c r="D8" s="414">
        <v>68</v>
      </c>
      <c r="E8" s="35">
        <f>C8 - D8</f>
        <v>8</v>
      </c>
      <c r="F8" s="35">
        <f t="shared" si="0"/>
        <v>0.88888888888888884</v>
      </c>
    </row>
    <row r="9" spans="2:12" s="30" customFormat="1" ht="18.75" x14ac:dyDescent="0.3">
      <c r="F9" s="35"/>
      <c r="G9" s="113"/>
    </row>
    <row r="10" spans="2:12" ht="18.75" x14ac:dyDescent="0.3">
      <c r="C10" s="36" t="s">
        <v>23</v>
      </c>
      <c r="D10" s="25">
        <f>COUNT(D5:D8) - 1</f>
        <v>3</v>
      </c>
      <c r="E10" s="55" t="s">
        <v>139</v>
      </c>
      <c r="F10" s="37">
        <f>SUM(F5:F8)</f>
        <v>17.969230769230769</v>
      </c>
      <c r="G10" s="168"/>
    </row>
    <row r="13" spans="2:12" s="30" customFormat="1" ht="18.75" x14ac:dyDescent="0.3">
      <c r="B13" s="25" t="s">
        <v>189</v>
      </c>
      <c r="D13" s="24" t="s">
        <v>54</v>
      </c>
      <c r="E13" s="24" t="s">
        <v>55</v>
      </c>
      <c r="F13" s="24" t="s">
        <v>58</v>
      </c>
      <c r="G13" s="24" t="s">
        <v>56</v>
      </c>
      <c r="H13" s="24" t="s">
        <v>25</v>
      </c>
      <c r="I13" s="55" t="s">
        <v>139</v>
      </c>
    </row>
    <row r="14" spans="2:12" s="30" customFormat="1" ht="18.75" customHeight="1" x14ac:dyDescent="0.3">
      <c r="B14" s="607" t="s">
        <v>86</v>
      </c>
      <c r="C14" s="607"/>
      <c r="D14" s="30">
        <v>44</v>
      </c>
      <c r="E14" s="30">
        <v>13</v>
      </c>
      <c r="F14" s="30">
        <v>5</v>
      </c>
      <c r="G14" s="30">
        <v>38</v>
      </c>
      <c r="H14" s="415">
        <f>SUM(D14:G14)</f>
        <v>100</v>
      </c>
    </row>
    <row r="15" spans="2:12" s="30" customFormat="1" ht="18.75" customHeight="1" x14ac:dyDescent="0.3">
      <c r="B15" s="608" t="s">
        <v>188</v>
      </c>
      <c r="C15" s="608"/>
      <c r="D15" s="30">
        <v>36</v>
      </c>
      <c r="E15" s="30">
        <v>23</v>
      </c>
      <c r="F15" s="30">
        <v>8</v>
      </c>
      <c r="G15" s="30">
        <v>34</v>
      </c>
      <c r="H15" s="415">
        <f>SUM(D15:G15)</f>
        <v>101</v>
      </c>
    </row>
    <row r="16" spans="2:12" s="30" customFormat="1" ht="18.75" x14ac:dyDescent="0.3">
      <c r="B16" s="25"/>
      <c r="C16" s="25"/>
      <c r="H16" s="415"/>
    </row>
    <row r="17" spans="2:18" s="30" customFormat="1" ht="18.75" customHeight="1" x14ac:dyDescent="0.3">
      <c r="B17" s="607" t="s">
        <v>86</v>
      </c>
      <c r="C17" s="607"/>
      <c r="D17" s="302">
        <v>88</v>
      </c>
      <c r="E17" s="302">
        <v>26</v>
      </c>
      <c r="F17" s="302">
        <v>10</v>
      </c>
      <c r="G17" s="302">
        <v>76</v>
      </c>
      <c r="H17" s="415">
        <f t="shared" ref="H17:H21" si="1">SUM(D17:G17)</f>
        <v>200</v>
      </c>
      <c r="I17" s="55" t="s">
        <v>139</v>
      </c>
    </row>
    <row r="18" spans="2:18" s="30" customFormat="1" ht="18.75" customHeight="1" x14ac:dyDescent="0.3">
      <c r="B18" s="608" t="s">
        <v>188</v>
      </c>
      <c r="C18" s="608"/>
      <c r="D18" s="302">
        <v>72</v>
      </c>
      <c r="E18" s="302">
        <v>46</v>
      </c>
      <c r="F18" s="302">
        <v>16</v>
      </c>
      <c r="G18" s="302">
        <v>68</v>
      </c>
      <c r="H18" s="415">
        <f t="shared" si="1"/>
        <v>202</v>
      </c>
    </row>
    <row r="19" spans="2:18" ht="18.75" x14ac:dyDescent="0.3">
      <c r="B19" s="46"/>
      <c r="C19" s="46"/>
      <c r="H19" s="415"/>
    </row>
    <row r="20" spans="2:18" s="30" customFormat="1" ht="18.75" customHeight="1" x14ac:dyDescent="0.3">
      <c r="B20" s="607" t="s">
        <v>86</v>
      </c>
      <c r="C20" s="607"/>
      <c r="D20" s="30">
        <v>132</v>
      </c>
      <c r="E20" s="30">
        <v>39</v>
      </c>
      <c r="F20" s="30">
        <v>15</v>
      </c>
      <c r="G20" s="30">
        <v>114</v>
      </c>
      <c r="H20" s="415">
        <f t="shared" si="1"/>
        <v>300</v>
      </c>
      <c r="I20" s="55" t="s">
        <v>139</v>
      </c>
    </row>
    <row r="21" spans="2:18" s="30" customFormat="1" ht="18.75" customHeight="1" x14ac:dyDescent="0.3">
      <c r="B21" s="608" t="s">
        <v>188</v>
      </c>
      <c r="C21" s="608"/>
      <c r="D21" s="30">
        <v>108</v>
      </c>
      <c r="E21" s="30">
        <v>69</v>
      </c>
      <c r="F21" s="30">
        <v>24</v>
      </c>
      <c r="G21" s="30">
        <v>102</v>
      </c>
      <c r="H21" s="415">
        <f t="shared" si="1"/>
        <v>303</v>
      </c>
    </row>
    <row r="22" spans="2:18" ht="18.75" x14ac:dyDescent="0.3">
      <c r="K22" s="30"/>
      <c r="L22" s="30"/>
      <c r="M22" s="30"/>
      <c r="N22" s="30"/>
      <c r="O22" s="30"/>
      <c r="P22" s="30"/>
      <c r="Q22" s="30"/>
      <c r="R22" s="30"/>
    </row>
    <row r="23" spans="2:18" s="30" customFormat="1" ht="18.600000000000001" customHeight="1" x14ac:dyDescent="0.3">
      <c r="B23" s="59" t="s">
        <v>311</v>
      </c>
      <c r="C23" s="410"/>
      <c r="D23" s="410"/>
      <c r="E23" s="410"/>
      <c r="F23" s="410"/>
      <c r="G23" s="410"/>
    </row>
    <row r="24" spans="2:18" s="30" customFormat="1" ht="18.75" x14ac:dyDescent="0.3">
      <c r="B24" s="609" t="s">
        <v>203</v>
      </c>
      <c r="C24" s="609"/>
      <c r="D24" s="302">
        <v>44</v>
      </c>
      <c r="E24" s="302">
        <v>27</v>
      </c>
      <c r="F24" s="302">
        <v>4</v>
      </c>
      <c r="G24" s="302">
        <v>88</v>
      </c>
      <c r="H24" s="415">
        <f>SUM(D24:G24)</f>
        <v>163</v>
      </c>
      <c r="I24" s="55" t="s">
        <v>139</v>
      </c>
    </row>
    <row r="25" spans="2:18" s="30" customFormat="1" ht="18.75" x14ac:dyDescent="0.3">
      <c r="B25" s="610" t="s">
        <v>204</v>
      </c>
      <c r="C25" s="610"/>
      <c r="D25" s="461">
        <v>44</v>
      </c>
      <c r="E25" s="461">
        <v>27</v>
      </c>
      <c r="F25" s="461">
        <v>6</v>
      </c>
      <c r="G25" s="461">
        <v>87</v>
      </c>
      <c r="H25" s="409">
        <f>SUM(D25:G25)</f>
        <v>164</v>
      </c>
    </row>
    <row r="26" spans="2:18" s="30" customFormat="1" ht="18.75" x14ac:dyDescent="0.3">
      <c r="B26" s="87"/>
      <c r="C26" s="87"/>
      <c r="D26" s="31"/>
      <c r="E26" s="31"/>
      <c r="F26" s="31"/>
      <c r="G26" s="31"/>
    </row>
    <row r="27" spans="2:18" s="30" customFormat="1" ht="18.75" x14ac:dyDescent="0.3">
      <c r="B27" s="607" t="s">
        <v>86</v>
      </c>
      <c r="C27" s="607"/>
      <c r="D27" s="30">
        <v>44</v>
      </c>
      <c r="E27" s="30">
        <v>13</v>
      </c>
      <c r="F27" s="30">
        <v>5</v>
      </c>
      <c r="G27" s="30">
        <v>38</v>
      </c>
      <c r="H27" s="415">
        <f>SUM(D27:G27)</f>
        <v>100</v>
      </c>
    </row>
    <row r="28" spans="2:18" s="30" customFormat="1" ht="18.75" x14ac:dyDescent="0.3">
      <c r="B28" s="608" t="s">
        <v>188</v>
      </c>
      <c r="C28" s="608"/>
      <c r="D28" s="30">
        <v>36</v>
      </c>
      <c r="E28" s="30">
        <v>23</v>
      </c>
      <c r="F28" s="30">
        <v>8</v>
      </c>
      <c r="G28" s="30">
        <v>34</v>
      </c>
      <c r="H28" s="415">
        <f>SUM(D28:G28)</f>
        <v>101</v>
      </c>
    </row>
    <row r="29" spans="2:18" s="30" customFormat="1" ht="18.75" x14ac:dyDescent="0.3">
      <c r="B29" s="407" t="s">
        <v>262</v>
      </c>
      <c r="C29" s="460"/>
      <c r="D29" s="86">
        <v>27</v>
      </c>
      <c r="E29" s="86">
        <v>17</v>
      </c>
      <c r="F29" s="86">
        <v>2</v>
      </c>
      <c r="G29" s="86">
        <v>54</v>
      </c>
      <c r="H29" s="415">
        <f>SUM(D29:G29)</f>
        <v>100</v>
      </c>
      <c r="I29"/>
    </row>
    <row r="30" spans="2:18" s="30" customFormat="1" ht="18.75" x14ac:dyDescent="0.3">
      <c r="B30" s="458"/>
      <c r="C30" s="459"/>
      <c r="D30" s="86"/>
      <c r="E30" s="86"/>
      <c r="F30" s="86"/>
      <c r="G30" s="86"/>
      <c r="H30" s="415"/>
      <c r="I30"/>
    </row>
    <row r="31" spans="2:18" s="30" customFormat="1" ht="18.75" x14ac:dyDescent="0.3">
      <c r="B31" s="25" t="s">
        <v>299</v>
      </c>
    </row>
    <row r="32" spans="2:18" s="30" customFormat="1" ht="20.100000000000001" customHeight="1" x14ac:dyDescent="0.3">
      <c r="C32" s="30" t="s">
        <v>312</v>
      </c>
    </row>
    <row r="33" spans="1:18" s="30" customFormat="1" ht="20.100000000000001" customHeight="1" x14ac:dyDescent="0.3">
      <c r="D33" s="30" t="s">
        <v>313</v>
      </c>
    </row>
    <row r="34" spans="1:18" s="30" customFormat="1" ht="20.100000000000001" customHeight="1" x14ac:dyDescent="0.3">
      <c r="D34" s="30" t="s">
        <v>314</v>
      </c>
      <c r="K34"/>
      <c r="L34"/>
      <c r="M34"/>
    </row>
    <row r="35" spans="1:18" s="30" customFormat="1" ht="20.100000000000001" customHeight="1" x14ac:dyDescent="0.3">
      <c r="C35" s="292" t="s">
        <v>345</v>
      </c>
      <c r="K35"/>
      <c r="L35"/>
      <c r="M35"/>
      <c r="N35"/>
      <c r="O35"/>
      <c r="P35"/>
      <c r="Q35"/>
      <c r="R35"/>
    </row>
    <row r="36" spans="1:18" s="30" customFormat="1" ht="20.100000000000001" customHeight="1" x14ac:dyDescent="0.3">
      <c r="D36" s="30" t="s">
        <v>315</v>
      </c>
      <c r="K36"/>
      <c r="L36"/>
      <c r="M36"/>
      <c r="N36"/>
      <c r="O36"/>
      <c r="P36"/>
      <c r="Q36"/>
      <c r="R36"/>
    </row>
    <row r="37" spans="1:18" s="30" customFormat="1" ht="20.100000000000001" customHeight="1" x14ac:dyDescent="0.3">
      <c r="D37" s="30" t="s">
        <v>316</v>
      </c>
      <c r="J37"/>
      <c r="K37"/>
      <c r="L37"/>
      <c r="M37"/>
      <c r="N37"/>
      <c r="O37"/>
      <c r="P37"/>
      <c r="Q37"/>
      <c r="R37"/>
    </row>
    <row r="38" spans="1:18" ht="20.100000000000001" customHeight="1" x14ac:dyDescent="0.3">
      <c r="A38" s="30"/>
      <c r="B38" s="30"/>
      <c r="C38" s="30"/>
      <c r="D38" s="30" t="s">
        <v>352</v>
      </c>
      <c r="E38" s="30"/>
      <c r="F38" s="30"/>
      <c r="G38" s="30"/>
      <c r="H38" s="30"/>
    </row>
    <row r="39" spans="1:18" ht="20.100000000000001" customHeight="1" x14ac:dyDescent="0.3">
      <c r="A39" s="30"/>
      <c r="B39" s="30"/>
      <c r="C39" s="30"/>
      <c r="D39" s="30"/>
      <c r="E39" s="303" t="s">
        <v>351</v>
      </c>
      <c r="F39" s="30"/>
      <c r="G39" s="30"/>
      <c r="H39" s="30"/>
    </row>
    <row r="40" spans="1:18" s="30" customFormat="1" ht="20.100000000000001" customHeight="1" x14ac:dyDescent="0.3">
      <c r="C40" s="292" t="s">
        <v>346</v>
      </c>
      <c r="I40" s="303"/>
    </row>
    <row r="41" spans="1:18" ht="20.100000000000001" customHeight="1" x14ac:dyDescent="0.3">
      <c r="A41" s="30"/>
      <c r="B41" s="30"/>
      <c r="C41" s="30"/>
      <c r="D41" s="30" t="s">
        <v>315</v>
      </c>
      <c r="E41" s="30"/>
      <c r="F41" s="30"/>
      <c r="G41" s="30"/>
      <c r="H41" s="30"/>
    </row>
    <row r="42" spans="1:18" ht="20.100000000000001" customHeight="1" x14ac:dyDescent="0.3">
      <c r="C42" s="30"/>
      <c r="D42" s="30" t="s">
        <v>316</v>
      </c>
    </row>
    <row r="43" spans="1:18" ht="20.100000000000001" customHeight="1" x14ac:dyDescent="0.3">
      <c r="C43" s="30"/>
      <c r="D43" s="30" t="s">
        <v>317</v>
      </c>
    </row>
    <row r="44" spans="1:18" ht="20.100000000000001" customHeight="1" x14ac:dyDescent="0.3">
      <c r="A44" s="30"/>
      <c r="B44" s="30"/>
      <c r="C44" s="303" t="s">
        <v>353</v>
      </c>
      <c r="D44" s="303"/>
      <c r="E44" s="303"/>
      <c r="F44" s="303"/>
      <c r="G44" s="303"/>
      <c r="H44" s="303"/>
    </row>
  </sheetData>
  <mergeCells count="12">
    <mergeCell ref="B27:C27"/>
    <mergeCell ref="B28:C28"/>
    <mergeCell ref="B24:C24"/>
    <mergeCell ref="B25:C25"/>
    <mergeCell ref="B20:C20"/>
    <mergeCell ref="B21:C21"/>
    <mergeCell ref="B1:L1"/>
    <mergeCell ref="B14:C14"/>
    <mergeCell ref="B15:C15"/>
    <mergeCell ref="B17:C17"/>
    <mergeCell ref="B18:C18"/>
    <mergeCell ref="I4:K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0E009-B9E7-4A21-84F5-AF064B62E240}">
  <sheetPr>
    <tabColor rgb="FFFFFF00"/>
  </sheetPr>
  <dimension ref="B1:Z372"/>
  <sheetViews>
    <sheetView workbookViewId="0">
      <pane ySplit="22" topLeftCell="A27" activePane="bottomLeft" state="frozen"/>
      <selection pane="bottomLeft" activeCell="A41" sqref="A41:XFD41"/>
    </sheetView>
  </sheetViews>
  <sheetFormatPr defaultRowHeight="15" x14ac:dyDescent="0.25"/>
  <cols>
    <col min="3" max="5" width="9.140625" style="38"/>
    <col min="8" max="18" width="9.140625" style="38"/>
  </cols>
  <sheetData>
    <row r="1" spans="2:26" ht="21.75" thickBot="1" x14ac:dyDescent="0.4">
      <c r="B1" s="363" t="s">
        <v>187</v>
      </c>
      <c r="C1" s="364"/>
      <c r="D1" s="364"/>
      <c r="E1" s="364"/>
      <c r="H1" s="363" t="s">
        <v>350</v>
      </c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2" spans="2:26" ht="19.5" thickBot="1" x14ac:dyDescent="0.35">
      <c r="B2" s="488" t="s">
        <v>320</v>
      </c>
      <c r="C2" s="489">
        <v>0.05</v>
      </c>
      <c r="D2" s="489">
        <v>0.01</v>
      </c>
      <c r="E2" s="490">
        <v>1E-3</v>
      </c>
      <c r="G2" s="491" t="s">
        <v>320</v>
      </c>
      <c r="H2" s="492">
        <v>0.995</v>
      </c>
      <c r="I2" s="492">
        <v>0.97499999999999998</v>
      </c>
      <c r="J2" s="492">
        <v>0.2</v>
      </c>
      <c r="K2" s="492">
        <v>0.1</v>
      </c>
      <c r="L2" s="552">
        <v>0.05</v>
      </c>
      <c r="M2" s="492">
        <v>2.5000000000000001E-2</v>
      </c>
      <c r="N2" s="492">
        <v>0.02</v>
      </c>
      <c r="O2" s="552">
        <v>0.01</v>
      </c>
      <c r="P2" s="492">
        <v>5.0000000000000001E-3</v>
      </c>
      <c r="Q2" s="492">
        <v>2E-3</v>
      </c>
      <c r="R2" s="554">
        <v>1E-3</v>
      </c>
      <c r="T2" s="30" t="s">
        <v>539</v>
      </c>
      <c r="U2" s="30"/>
      <c r="V2" s="30"/>
      <c r="W2" s="30"/>
      <c r="X2" s="30"/>
      <c r="Y2" s="30"/>
      <c r="Z2" s="30"/>
    </row>
    <row r="3" spans="2:26" ht="18.75" x14ac:dyDescent="0.3">
      <c r="B3" s="493">
        <v>1</v>
      </c>
      <c r="C3" s="494">
        <v>3.8410000000000002</v>
      </c>
      <c r="D3" s="494">
        <v>6.6349999999999998</v>
      </c>
      <c r="E3" s="494">
        <v>10.827999999999999</v>
      </c>
      <c r="F3" s="145"/>
      <c r="G3" s="493">
        <v>1</v>
      </c>
      <c r="H3" s="494">
        <v>3.93E-5</v>
      </c>
      <c r="I3" s="494">
        <v>9.8200000000000002E-4</v>
      </c>
      <c r="J3" s="494">
        <v>1.6419999999999999</v>
      </c>
      <c r="K3" s="494">
        <v>2.706</v>
      </c>
      <c r="L3" s="494">
        <v>3.8410000000000002</v>
      </c>
      <c r="M3" s="494">
        <v>5.024</v>
      </c>
      <c r="N3" s="494">
        <v>5.4119999999999999</v>
      </c>
      <c r="O3" s="494">
        <v>6.6349999999999998</v>
      </c>
      <c r="P3" s="494">
        <v>7.8789999999999996</v>
      </c>
      <c r="Q3" s="494">
        <v>9.5500000000000007</v>
      </c>
      <c r="R3" s="494">
        <v>10.827999999999999</v>
      </c>
      <c r="U3" s="30" t="s">
        <v>546</v>
      </c>
      <c r="V3" s="30"/>
      <c r="W3" s="30"/>
      <c r="X3" s="30"/>
      <c r="Y3" s="30"/>
      <c r="Z3" s="30"/>
    </row>
    <row r="4" spans="2:26" ht="18.75" x14ac:dyDescent="0.3">
      <c r="B4" s="493">
        <v>2</v>
      </c>
      <c r="C4" s="494">
        <v>5.9909999999999997</v>
      </c>
      <c r="D4" s="494">
        <v>9.2100000000000009</v>
      </c>
      <c r="E4" s="494">
        <v>13.816000000000001</v>
      </c>
      <c r="F4" s="145"/>
      <c r="G4" s="493">
        <v>2</v>
      </c>
      <c r="H4" s="494">
        <v>0.01</v>
      </c>
      <c r="I4" s="494">
        <v>5.0599999999999999E-2</v>
      </c>
      <c r="J4" s="494">
        <v>3.2189999999999999</v>
      </c>
      <c r="K4" s="494">
        <v>4.6050000000000004</v>
      </c>
      <c r="L4" s="494">
        <v>5.9909999999999997</v>
      </c>
      <c r="M4" s="494">
        <v>7.3780000000000001</v>
      </c>
      <c r="N4" s="494">
        <v>7.8239999999999998</v>
      </c>
      <c r="O4" s="494">
        <v>9.2100000000000009</v>
      </c>
      <c r="P4" s="494">
        <v>10.597</v>
      </c>
      <c r="Q4" s="494">
        <v>12.429</v>
      </c>
      <c r="R4" s="494">
        <v>13.816000000000001</v>
      </c>
      <c r="T4" s="30" t="s">
        <v>547</v>
      </c>
      <c r="U4" s="30"/>
      <c r="V4" s="30"/>
      <c r="W4" s="30"/>
      <c r="X4" s="30"/>
      <c r="Y4" s="30"/>
      <c r="Z4" s="30"/>
    </row>
    <row r="5" spans="2:26" ht="18.75" x14ac:dyDescent="0.3">
      <c r="B5" s="493">
        <v>3</v>
      </c>
      <c r="C5" s="494">
        <v>7.8150000000000004</v>
      </c>
      <c r="D5" s="494">
        <v>11.345000000000001</v>
      </c>
      <c r="E5" s="494">
        <v>16.265999999999998</v>
      </c>
      <c r="F5" s="145"/>
      <c r="G5" s="493">
        <v>3</v>
      </c>
      <c r="H5" s="494">
        <v>7.17E-2</v>
      </c>
      <c r="I5" s="494">
        <v>0.216</v>
      </c>
      <c r="J5" s="494">
        <v>4.6420000000000003</v>
      </c>
      <c r="K5" s="494">
        <v>6.2510000000000003</v>
      </c>
      <c r="L5" s="553">
        <v>7.8150000000000004</v>
      </c>
      <c r="M5" s="527">
        <v>9.3480000000000008</v>
      </c>
      <c r="N5" s="494">
        <v>9.8369999999999997</v>
      </c>
      <c r="O5" s="494">
        <v>11.345000000000001</v>
      </c>
      <c r="P5" s="494">
        <v>12.837999999999999</v>
      </c>
      <c r="Q5" s="494">
        <v>14.795999999999999</v>
      </c>
      <c r="R5" s="494">
        <v>16.265999999999998</v>
      </c>
      <c r="T5" s="30"/>
      <c r="U5" s="30" t="s">
        <v>349</v>
      </c>
      <c r="V5" s="30"/>
      <c r="W5" s="30"/>
      <c r="X5" s="30"/>
      <c r="Y5" s="30"/>
      <c r="Z5" s="30"/>
    </row>
    <row r="6" spans="2:26" ht="18.75" x14ac:dyDescent="0.3">
      <c r="B6" s="493">
        <v>4</v>
      </c>
      <c r="C6" s="494">
        <v>9.4879999999999995</v>
      </c>
      <c r="D6" s="494">
        <v>13.276999999999999</v>
      </c>
      <c r="E6" s="494">
        <v>18.466999999999999</v>
      </c>
      <c r="F6" s="145"/>
      <c r="G6" s="493">
        <v>4</v>
      </c>
      <c r="H6" s="494">
        <v>0.20699999999999999</v>
      </c>
      <c r="I6" s="494">
        <v>0.48399999999999999</v>
      </c>
      <c r="J6" s="494">
        <v>5.9889999999999999</v>
      </c>
      <c r="K6" s="494">
        <v>7.7789999999999999</v>
      </c>
      <c r="L6" s="494">
        <v>9.4879999999999995</v>
      </c>
      <c r="M6" s="494">
        <v>11.143000000000001</v>
      </c>
      <c r="N6" s="494">
        <v>11.667999999999999</v>
      </c>
      <c r="O6" s="494">
        <v>13.276999999999999</v>
      </c>
      <c r="P6" s="494">
        <v>14.86</v>
      </c>
      <c r="Q6" s="494">
        <v>16.923999999999999</v>
      </c>
      <c r="R6" s="494">
        <v>18.466999999999999</v>
      </c>
      <c r="T6" s="30"/>
      <c r="U6" s="30"/>
      <c r="V6" s="30"/>
      <c r="W6" s="30"/>
      <c r="X6" s="30" t="s">
        <v>348</v>
      </c>
      <c r="Y6" s="30"/>
      <c r="Z6" s="30"/>
    </row>
    <row r="7" spans="2:26" ht="15.75" x14ac:dyDescent="0.25">
      <c r="B7" s="493">
        <v>5</v>
      </c>
      <c r="C7" s="494">
        <v>11.07</v>
      </c>
      <c r="D7" s="494">
        <v>15.086</v>
      </c>
      <c r="E7" s="494">
        <v>20.515000000000001</v>
      </c>
      <c r="F7" s="145"/>
      <c r="G7" s="493">
        <v>5</v>
      </c>
      <c r="H7" s="494">
        <v>0.41199999999999998</v>
      </c>
      <c r="I7" s="494">
        <v>0.83099999999999996</v>
      </c>
      <c r="J7" s="494">
        <v>7.2889999999999997</v>
      </c>
      <c r="K7" s="494">
        <v>9.2360000000000007</v>
      </c>
      <c r="L7" s="494">
        <v>11.07</v>
      </c>
      <c r="M7" s="494">
        <v>12.833</v>
      </c>
      <c r="N7" s="494">
        <v>13.388</v>
      </c>
      <c r="O7" s="494">
        <v>15.086</v>
      </c>
      <c r="P7" s="494">
        <v>16.75</v>
      </c>
      <c r="Q7" s="494">
        <v>18.907</v>
      </c>
      <c r="R7" s="494">
        <v>20.515000000000001</v>
      </c>
    </row>
    <row r="8" spans="2:26" ht="15.75" x14ac:dyDescent="0.25">
      <c r="B8" s="493">
        <v>6</v>
      </c>
      <c r="C8" s="494">
        <v>12.592000000000001</v>
      </c>
      <c r="D8" s="494">
        <v>16.812000000000001</v>
      </c>
      <c r="E8" s="494">
        <v>22.457999999999998</v>
      </c>
      <c r="F8" s="145"/>
      <c r="G8" s="493">
        <v>6</v>
      </c>
      <c r="H8" s="494">
        <v>0.67600000000000005</v>
      </c>
      <c r="I8" s="494">
        <v>1.2370000000000001</v>
      </c>
      <c r="J8" s="494">
        <v>8.5579999999999998</v>
      </c>
      <c r="K8" s="494">
        <v>10.645</v>
      </c>
      <c r="L8" s="494">
        <v>12.592000000000001</v>
      </c>
      <c r="M8" s="494">
        <v>14.449</v>
      </c>
      <c r="N8" s="494">
        <v>15.032999999999999</v>
      </c>
      <c r="O8" s="494">
        <v>16.812000000000001</v>
      </c>
      <c r="P8" s="494">
        <v>18.547999999999998</v>
      </c>
      <c r="Q8" s="494">
        <v>20.791</v>
      </c>
      <c r="R8" s="494">
        <v>22.457999999999998</v>
      </c>
    </row>
    <row r="9" spans="2:26" ht="15.75" x14ac:dyDescent="0.25">
      <c r="B9" s="493">
        <v>7</v>
      </c>
      <c r="C9" s="494">
        <v>14.067</v>
      </c>
      <c r="D9" s="494">
        <v>18.475000000000001</v>
      </c>
      <c r="E9" s="494">
        <v>24.321999999999999</v>
      </c>
      <c r="F9" s="145"/>
      <c r="G9" s="493">
        <v>7</v>
      </c>
      <c r="H9" s="494">
        <v>0.98899999999999999</v>
      </c>
      <c r="I9" s="494">
        <v>1.69</v>
      </c>
      <c r="J9" s="494">
        <v>9.8030000000000008</v>
      </c>
      <c r="K9" s="494">
        <v>12.016999999999999</v>
      </c>
      <c r="L9" s="494">
        <v>14.067</v>
      </c>
      <c r="M9" s="494">
        <v>16.013000000000002</v>
      </c>
      <c r="N9" s="494">
        <v>16.622</v>
      </c>
      <c r="O9" s="494">
        <v>18.475000000000001</v>
      </c>
      <c r="P9" s="494">
        <v>20.277999999999999</v>
      </c>
      <c r="Q9" s="494">
        <v>22.600999999999999</v>
      </c>
      <c r="R9" s="494">
        <v>24.321999999999999</v>
      </c>
    </row>
    <row r="10" spans="2:26" ht="15.75" x14ac:dyDescent="0.25">
      <c r="B10" s="493">
        <v>8</v>
      </c>
      <c r="C10" s="494">
        <v>15.507</v>
      </c>
      <c r="D10" s="494">
        <v>20.09</v>
      </c>
      <c r="E10" s="494">
        <v>26.123999999999999</v>
      </c>
      <c r="F10" s="145"/>
      <c r="G10" s="493">
        <v>8</v>
      </c>
      <c r="H10" s="494">
        <v>1.3440000000000001</v>
      </c>
      <c r="I10" s="494">
        <v>2.1800000000000002</v>
      </c>
      <c r="J10" s="494">
        <v>11.03</v>
      </c>
      <c r="K10" s="494">
        <v>13.362</v>
      </c>
      <c r="L10" s="494">
        <v>15.507</v>
      </c>
      <c r="M10" s="494">
        <v>17.535</v>
      </c>
      <c r="N10" s="494">
        <v>18.167999999999999</v>
      </c>
      <c r="O10" s="494">
        <v>20.09</v>
      </c>
      <c r="P10" s="494">
        <v>21.954999999999998</v>
      </c>
      <c r="Q10" s="494">
        <v>24.352</v>
      </c>
      <c r="R10" s="494">
        <v>26.123999999999999</v>
      </c>
    </row>
    <row r="11" spans="2:26" ht="15.75" x14ac:dyDescent="0.25">
      <c r="B11" s="493">
        <v>9</v>
      </c>
      <c r="C11" s="494">
        <v>16.919</v>
      </c>
      <c r="D11" s="494">
        <v>21.666</v>
      </c>
      <c r="E11" s="494">
        <v>27.876999999999999</v>
      </c>
      <c r="F11" s="145"/>
      <c r="G11" s="493">
        <v>9</v>
      </c>
      <c r="H11" s="494">
        <v>1.7350000000000001</v>
      </c>
      <c r="I11" s="494">
        <v>2.7</v>
      </c>
      <c r="J11" s="494">
        <v>12.242000000000001</v>
      </c>
      <c r="K11" s="494">
        <v>14.683999999999999</v>
      </c>
      <c r="L11" s="494">
        <v>16.919</v>
      </c>
      <c r="M11" s="494">
        <v>19.023</v>
      </c>
      <c r="N11" s="494">
        <v>19.678999999999998</v>
      </c>
      <c r="O11" s="494">
        <v>21.666</v>
      </c>
      <c r="P11" s="494">
        <v>23.588999999999999</v>
      </c>
      <c r="Q11" s="494">
        <v>26.056000000000001</v>
      </c>
      <c r="R11" s="494">
        <v>27.876999999999999</v>
      </c>
    </row>
    <row r="12" spans="2:26" ht="15.75" x14ac:dyDescent="0.25">
      <c r="B12" s="493">
        <v>10</v>
      </c>
      <c r="C12" s="494">
        <v>18.306999999999999</v>
      </c>
      <c r="D12" s="494">
        <v>23.209</v>
      </c>
      <c r="E12" s="494">
        <v>29.588000000000001</v>
      </c>
      <c r="F12" s="145"/>
      <c r="G12" s="493">
        <v>10</v>
      </c>
      <c r="H12" s="494">
        <v>2.1560000000000001</v>
      </c>
      <c r="I12" s="494">
        <v>3.2469999999999999</v>
      </c>
      <c r="J12" s="494">
        <v>13.442</v>
      </c>
      <c r="K12" s="494">
        <v>15.987</v>
      </c>
      <c r="L12" s="494">
        <v>18.306999999999999</v>
      </c>
      <c r="M12" s="494">
        <v>20.483000000000001</v>
      </c>
      <c r="N12" s="494">
        <v>21.161000000000001</v>
      </c>
      <c r="O12" s="494">
        <v>23.209</v>
      </c>
      <c r="P12" s="494">
        <v>25.187999999999999</v>
      </c>
      <c r="Q12" s="494">
        <v>27.722000000000001</v>
      </c>
      <c r="R12" s="494">
        <v>29.588000000000001</v>
      </c>
    </row>
    <row r="13" spans="2:26" ht="15.75" x14ac:dyDescent="0.25">
      <c r="B13" s="493">
        <v>11</v>
      </c>
      <c r="C13" s="494">
        <v>19.675000000000001</v>
      </c>
      <c r="D13" s="494">
        <v>24.725000000000001</v>
      </c>
      <c r="E13" s="494">
        <v>31.263999999999999</v>
      </c>
      <c r="F13" s="145"/>
      <c r="G13" s="493">
        <v>11</v>
      </c>
      <c r="H13" s="494">
        <v>2.6030000000000002</v>
      </c>
      <c r="I13" s="494">
        <v>3.8159999999999998</v>
      </c>
      <c r="J13" s="494">
        <v>14.631</v>
      </c>
      <c r="K13" s="494">
        <v>17.274999999999999</v>
      </c>
      <c r="L13" s="494">
        <v>19.675000000000001</v>
      </c>
      <c r="M13" s="494">
        <v>21.92</v>
      </c>
      <c r="N13" s="494">
        <v>22.617999999999999</v>
      </c>
      <c r="O13" s="494">
        <v>24.725000000000001</v>
      </c>
      <c r="P13" s="494">
        <v>26.757000000000001</v>
      </c>
      <c r="Q13" s="494">
        <v>29.353999999999999</v>
      </c>
      <c r="R13" s="494">
        <v>31.263999999999999</v>
      </c>
    </row>
    <row r="14" spans="2:26" ht="15.75" x14ac:dyDescent="0.25">
      <c r="B14" s="493">
        <v>12</v>
      </c>
      <c r="C14" s="494">
        <v>21.026</v>
      </c>
      <c r="D14" s="494">
        <v>26.216999999999999</v>
      </c>
      <c r="E14" s="494">
        <v>32.908999999999999</v>
      </c>
      <c r="F14" s="145"/>
      <c r="G14" s="493">
        <v>12</v>
      </c>
      <c r="H14" s="494">
        <v>3.0739999999999998</v>
      </c>
      <c r="I14" s="494">
        <v>4.4039999999999999</v>
      </c>
      <c r="J14" s="494">
        <v>15.811999999999999</v>
      </c>
      <c r="K14" s="494">
        <v>18.548999999999999</v>
      </c>
      <c r="L14" s="494">
        <v>21.026</v>
      </c>
      <c r="M14" s="494">
        <v>23.337</v>
      </c>
      <c r="N14" s="494">
        <v>24.053999999999998</v>
      </c>
      <c r="O14" s="494">
        <v>26.216999999999999</v>
      </c>
      <c r="P14" s="494">
        <v>28.3</v>
      </c>
      <c r="Q14" s="494">
        <v>30.957000000000001</v>
      </c>
      <c r="R14" s="494">
        <v>32.908999999999999</v>
      </c>
    </row>
    <row r="15" spans="2:26" ht="15.75" x14ac:dyDescent="0.25">
      <c r="B15" s="493">
        <v>13</v>
      </c>
      <c r="C15" s="494">
        <v>22.361999999999998</v>
      </c>
      <c r="D15" s="494">
        <v>27.687999999999999</v>
      </c>
      <c r="E15" s="494">
        <v>34.527999999999999</v>
      </c>
      <c r="F15" s="145"/>
      <c r="G15" s="493">
        <v>13</v>
      </c>
      <c r="H15" s="494">
        <v>3.5649999999999999</v>
      </c>
      <c r="I15" s="494">
        <v>5.0090000000000003</v>
      </c>
      <c r="J15" s="494">
        <v>16.984999999999999</v>
      </c>
      <c r="K15" s="494">
        <v>19.812000000000001</v>
      </c>
      <c r="L15" s="494">
        <v>22.361999999999998</v>
      </c>
      <c r="M15" s="494">
        <v>24.736000000000001</v>
      </c>
      <c r="N15" s="494">
        <v>25.472000000000001</v>
      </c>
      <c r="O15" s="494">
        <v>27.687999999999999</v>
      </c>
      <c r="P15" s="494">
        <v>29.818999999999999</v>
      </c>
      <c r="Q15" s="494">
        <v>32.534999999999997</v>
      </c>
      <c r="R15" s="494">
        <v>34.527999999999999</v>
      </c>
    </row>
    <row r="16" spans="2:26" ht="15.75" x14ac:dyDescent="0.25">
      <c r="B16" s="493">
        <v>14</v>
      </c>
      <c r="C16" s="494">
        <v>23.684999999999999</v>
      </c>
      <c r="D16" s="494">
        <v>29.140999999999998</v>
      </c>
      <c r="E16" s="494">
        <v>36.122999999999998</v>
      </c>
      <c r="F16" s="145"/>
      <c r="G16" s="493">
        <v>14</v>
      </c>
      <c r="H16" s="494">
        <v>4.0750000000000002</v>
      </c>
      <c r="I16" s="494">
        <v>5.6289999999999996</v>
      </c>
      <c r="J16" s="494">
        <v>18.151</v>
      </c>
      <c r="K16" s="494">
        <v>21.064</v>
      </c>
      <c r="L16" s="494">
        <v>23.684999999999999</v>
      </c>
      <c r="M16" s="494">
        <v>26.119</v>
      </c>
      <c r="N16" s="494">
        <v>26.873000000000001</v>
      </c>
      <c r="O16" s="494">
        <v>29.140999999999998</v>
      </c>
      <c r="P16" s="494">
        <v>31.318999999999999</v>
      </c>
      <c r="Q16" s="494">
        <v>34.091000000000001</v>
      </c>
      <c r="R16" s="494">
        <v>36.122999999999998</v>
      </c>
    </row>
    <row r="17" spans="2:18" ht="15.75" x14ac:dyDescent="0.25">
      <c r="B17" s="493">
        <v>15</v>
      </c>
      <c r="C17" s="494">
        <v>24.995999999999999</v>
      </c>
      <c r="D17" s="494">
        <v>30.577999999999999</v>
      </c>
      <c r="E17" s="494">
        <v>37.697000000000003</v>
      </c>
      <c r="F17" s="145"/>
      <c r="G17" s="493">
        <v>15</v>
      </c>
      <c r="H17" s="494">
        <v>4.601</v>
      </c>
      <c r="I17" s="494">
        <v>6.2619999999999996</v>
      </c>
      <c r="J17" s="494">
        <v>19.311</v>
      </c>
      <c r="K17" s="494">
        <v>22.306999999999999</v>
      </c>
      <c r="L17" s="494">
        <v>24.995999999999999</v>
      </c>
      <c r="M17" s="494">
        <v>27.488</v>
      </c>
      <c r="N17" s="494">
        <v>28.259</v>
      </c>
      <c r="O17" s="494">
        <v>30.577999999999999</v>
      </c>
      <c r="P17" s="494">
        <v>32.801000000000002</v>
      </c>
      <c r="Q17" s="494">
        <v>35.628</v>
      </c>
      <c r="R17" s="494">
        <v>37.697000000000003</v>
      </c>
    </row>
    <row r="18" spans="2:18" ht="15.75" x14ac:dyDescent="0.25">
      <c r="B18" s="493">
        <v>16</v>
      </c>
      <c r="C18" s="494">
        <v>26.295999999999999</v>
      </c>
      <c r="D18" s="494">
        <v>32</v>
      </c>
      <c r="E18" s="494">
        <v>39.252000000000002</v>
      </c>
      <c r="F18" s="145"/>
      <c r="G18" s="493">
        <v>16</v>
      </c>
      <c r="H18" s="494">
        <v>5.1420000000000003</v>
      </c>
      <c r="I18" s="494">
        <v>6.9080000000000004</v>
      </c>
      <c r="J18" s="494">
        <v>20.465</v>
      </c>
      <c r="K18" s="494">
        <v>23.542000000000002</v>
      </c>
      <c r="L18" s="494">
        <v>26.295999999999999</v>
      </c>
      <c r="M18" s="494">
        <v>28.844999999999999</v>
      </c>
      <c r="N18" s="494">
        <v>29.632999999999999</v>
      </c>
      <c r="O18" s="494">
        <v>32</v>
      </c>
      <c r="P18" s="494">
        <v>34.267000000000003</v>
      </c>
      <c r="Q18" s="494">
        <v>37.146000000000001</v>
      </c>
      <c r="R18" s="494">
        <v>39.252000000000002</v>
      </c>
    </row>
    <row r="19" spans="2:18" ht="15.75" x14ac:dyDescent="0.25">
      <c r="B19" s="493">
        <v>17</v>
      </c>
      <c r="C19" s="494">
        <v>27.587</v>
      </c>
      <c r="D19" s="494">
        <v>33.408999999999999</v>
      </c>
      <c r="E19" s="494">
        <v>40.79</v>
      </c>
      <c r="F19" s="145"/>
      <c r="G19" s="493">
        <v>17</v>
      </c>
      <c r="H19" s="494">
        <v>5.6970000000000001</v>
      </c>
      <c r="I19" s="494">
        <v>7.5640000000000001</v>
      </c>
      <c r="J19" s="494">
        <v>21.614999999999998</v>
      </c>
      <c r="K19" s="494">
        <v>24.768999999999998</v>
      </c>
      <c r="L19" s="494">
        <v>27.587</v>
      </c>
      <c r="M19" s="494">
        <v>30.190999999999999</v>
      </c>
      <c r="N19" s="494">
        <v>30.995000000000001</v>
      </c>
      <c r="O19" s="494">
        <v>33.408999999999999</v>
      </c>
      <c r="P19" s="494">
        <v>35.718000000000004</v>
      </c>
      <c r="Q19" s="494">
        <v>38.648000000000003</v>
      </c>
      <c r="R19" s="494">
        <v>40.79</v>
      </c>
    </row>
    <row r="20" spans="2:18" ht="15.75" x14ac:dyDescent="0.25">
      <c r="B20" s="493">
        <v>18</v>
      </c>
      <c r="C20" s="494">
        <v>28.869</v>
      </c>
      <c r="D20" s="494">
        <v>34.805</v>
      </c>
      <c r="E20" s="494">
        <v>42.311999999999998</v>
      </c>
      <c r="F20" s="145"/>
      <c r="G20" s="493">
        <v>18</v>
      </c>
      <c r="H20" s="494">
        <v>6.2649999999999997</v>
      </c>
      <c r="I20" s="494">
        <v>8.2309999999999999</v>
      </c>
      <c r="J20" s="494">
        <v>22.76</v>
      </c>
      <c r="K20" s="494">
        <v>25.989000000000001</v>
      </c>
      <c r="L20" s="494">
        <v>28.869</v>
      </c>
      <c r="M20" s="494">
        <v>31.526</v>
      </c>
      <c r="N20" s="494">
        <v>32.345999999999997</v>
      </c>
      <c r="O20" s="494">
        <v>34.805</v>
      </c>
      <c r="P20" s="494">
        <v>37.155999999999999</v>
      </c>
      <c r="Q20" s="494">
        <v>40.136000000000003</v>
      </c>
      <c r="R20" s="494">
        <v>42.311999999999998</v>
      </c>
    </row>
    <row r="21" spans="2:18" ht="15.75" x14ac:dyDescent="0.25">
      <c r="B21" s="493">
        <v>19</v>
      </c>
      <c r="C21" s="494">
        <v>30.143999999999998</v>
      </c>
      <c r="D21" s="494">
        <v>36.191000000000003</v>
      </c>
      <c r="E21" s="494">
        <v>43.82</v>
      </c>
      <c r="F21" s="145"/>
      <c r="G21" s="493">
        <v>19</v>
      </c>
      <c r="H21" s="494">
        <v>6.8440000000000003</v>
      </c>
      <c r="I21" s="494">
        <v>8.907</v>
      </c>
      <c r="J21" s="494">
        <v>23.9</v>
      </c>
      <c r="K21" s="494">
        <v>27.204000000000001</v>
      </c>
      <c r="L21" s="494">
        <v>30.143999999999998</v>
      </c>
      <c r="M21" s="494">
        <v>32.851999999999997</v>
      </c>
      <c r="N21" s="494">
        <v>33.686999999999998</v>
      </c>
      <c r="O21" s="494">
        <v>36.191000000000003</v>
      </c>
      <c r="P21" s="494">
        <v>38.582000000000001</v>
      </c>
      <c r="Q21" s="494">
        <v>41.61</v>
      </c>
      <c r="R21" s="494">
        <v>43.82</v>
      </c>
    </row>
    <row r="22" spans="2:18" ht="15.75" x14ac:dyDescent="0.25">
      <c r="B22" s="493">
        <v>20</v>
      </c>
      <c r="C22" s="494">
        <v>31.41</v>
      </c>
      <c r="D22" s="494">
        <v>37.566000000000003</v>
      </c>
      <c r="E22" s="494">
        <v>45.314999999999998</v>
      </c>
      <c r="F22" s="145"/>
      <c r="G22" s="493">
        <v>20</v>
      </c>
      <c r="H22" s="494">
        <v>7.4340000000000002</v>
      </c>
      <c r="I22" s="494">
        <v>9.5909999999999993</v>
      </c>
      <c r="J22" s="494">
        <v>25.038</v>
      </c>
      <c r="K22" s="494">
        <v>28.411999999999999</v>
      </c>
      <c r="L22" s="494">
        <v>31.41</v>
      </c>
      <c r="M22" s="494">
        <v>34.17</v>
      </c>
      <c r="N22" s="494">
        <v>35.020000000000003</v>
      </c>
      <c r="O22" s="494">
        <v>37.566000000000003</v>
      </c>
      <c r="P22" s="494">
        <v>39.997</v>
      </c>
      <c r="Q22" s="494">
        <v>43.072000000000003</v>
      </c>
      <c r="R22" s="494">
        <v>45.314999999999998</v>
      </c>
    </row>
    <row r="23" spans="2:18" ht="15.75" x14ac:dyDescent="0.25">
      <c r="B23" s="493">
        <v>21</v>
      </c>
      <c r="C23" s="494">
        <v>32.670999999999999</v>
      </c>
      <c r="D23" s="494">
        <v>38.932000000000002</v>
      </c>
      <c r="E23" s="494">
        <v>46.796999999999997</v>
      </c>
      <c r="F23" s="145"/>
      <c r="G23" s="493">
        <v>21</v>
      </c>
      <c r="H23" s="494">
        <v>8.0340000000000007</v>
      </c>
      <c r="I23" s="494">
        <v>10.282999999999999</v>
      </c>
      <c r="J23" s="494">
        <v>26.170999999999999</v>
      </c>
      <c r="K23" s="494">
        <v>29.614999999999998</v>
      </c>
      <c r="L23" s="494">
        <v>32.670999999999999</v>
      </c>
      <c r="M23" s="494">
        <v>35.478999999999999</v>
      </c>
      <c r="N23" s="494">
        <v>36.343000000000004</v>
      </c>
      <c r="O23" s="494">
        <v>38.932000000000002</v>
      </c>
      <c r="P23" s="494">
        <v>41.401000000000003</v>
      </c>
      <c r="Q23" s="494">
        <v>44.521999999999998</v>
      </c>
      <c r="R23" s="494">
        <v>46.796999999999997</v>
      </c>
    </row>
    <row r="24" spans="2:18" ht="15.75" x14ac:dyDescent="0.25">
      <c r="B24" s="493">
        <v>22</v>
      </c>
      <c r="C24" s="494">
        <v>33.923999999999999</v>
      </c>
      <c r="D24" s="494">
        <v>40.289000000000001</v>
      </c>
      <c r="E24" s="494">
        <v>48.268000000000001</v>
      </c>
      <c r="F24" s="145"/>
      <c r="G24" s="493">
        <v>22</v>
      </c>
      <c r="H24" s="494">
        <v>8.6430000000000007</v>
      </c>
      <c r="I24" s="494">
        <v>10.981999999999999</v>
      </c>
      <c r="J24" s="494">
        <v>27.300999999999998</v>
      </c>
      <c r="K24" s="494">
        <v>30.812999999999999</v>
      </c>
      <c r="L24" s="494">
        <v>33.923999999999999</v>
      </c>
      <c r="M24" s="494">
        <v>36.780999999999999</v>
      </c>
      <c r="N24" s="494">
        <v>37.658999999999999</v>
      </c>
      <c r="O24" s="494">
        <v>40.289000000000001</v>
      </c>
      <c r="P24" s="494">
        <v>42.795999999999999</v>
      </c>
      <c r="Q24" s="494">
        <v>45.962000000000003</v>
      </c>
      <c r="R24" s="494">
        <v>48.268000000000001</v>
      </c>
    </row>
    <row r="25" spans="2:18" ht="15.75" x14ac:dyDescent="0.25">
      <c r="B25" s="493">
        <v>23</v>
      </c>
      <c r="C25" s="494">
        <v>35.171999999999997</v>
      </c>
      <c r="D25" s="494">
        <v>41.637999999999998</v>
      </c>
      <c r="E25" s="494">
        <v>49.728000000000002</v>
      </c>
      <c r="F25" s="145"/>
      <c r="G25" s="493">
        <v>23</v>
      </c>
      <c r="H25" s="494">
        <v>9.26</v>
      </c>
      <c r="I25" s="494">
        <v>11.689</v>
      </c>
      <c r="J25" s="494">
        <v>28.428999999999998</v>
      </c>
      <c r="K25" s="494">
        <v>32.006999999999998</v>
      </c>
      <c r="L25" s="494">
        <v>35.171999999999997</v>
      </c>
      <c r="M25" s="494">
        <v>38.076000000000001</v>
      </c>
      <c r="N25" s="494">
        <v>38.968000000000004</v>
      </c>
      <c r="O25" s="494">
        <v>41.637999999999998</v>
      </c>
      <c r="P25" s="494">
        <v>44.180999999999997</v>
      </c>
      <c r="Q25" s="494">
        <v>47.390999999999998</v>
      </c>
      <c r="R25" s="494">
        <v>49.728000000000002</v>
      </c>
    </row>
    <row r="26" spans="2:18" ht="15.75" x14ac:dyDescent="0.25">
      <c r="B26" s="493">
        <v>24</v>
      </c>
      <c r="C26" s="494">
        <v>36.414999999999999</v>
      </c>
      <c r="D26" s="494">
        <v>42.98</v>
      </c>
      <c r="E26" s="494">
        <v>51.179000000000002</v>
      </c>
      <c r="F26" s="145"/>
      <c r="G26" s="493">
        <v>24</v>
      </c>
      <c r="H26" s="494">
        <v>9.8859999999999992</v>
      </c>
      <c r="I26" s="494">
        <v>12.401</v>
      </c>
      <c r="J26" s="494">
        <v>29.553000000000001</v>
      </c>
      <c r="K26" s="494">
        <v>33.195999999999998</v>
      </c>
      <c r="L26" s="494">
        <v>36.414999999999999</v>
      </c>
      <c r="M26" s="494">
        <v>39.363999999999997</v>
      </c>
      <c r="N26" s="494">
        <v>40.270000000000003</v>
      </c>
      <c r="O26" s="494">
        <v>42.98</v>
      </c>
      <c r="P26" s="494">
        <v>45.558999999999997</v>
      </c>
      <c r="Q26" s="494">
        <v>48.811999999999998</v>
      </c>
      <c r="R26" s="494">
        <v>51.179000000000002</v>
      </c>
    </row>
    <row r="27" spans="2:18" ht="15.75" x14ac:dyDescent="0.25">
      <c r="B27" s="493">
        <v>25</v>
      </c>
      <c r="C27" s="494">
        <v>37.652000000000001</v>
      </c>
      <c r="D27" s="494">
        <v>44.314</v>
      </c>
      <c r="E27" s="494">
        <v>52.62</v>
      </c>
      <c r="F27" s="145"/>
      <c r="G27" s="493">
        <v>25</v>
      </c>
      <c r="H27" s="494">
        <v>10.52</v>
      </c>
      <c r="I27" s="494">
        <v>13.12</v>
      </c>
      <c r="J27" s="494">
        <v>30.675000000000001</v>
      </c>
      <c r="K27" s="494">
        <v>34.381999999999998</v>
      </c>
      <c r="L27" s="494">
        <v>37.652000000000001</v>
      </c>
      <c r="M27" s="494">
        <v>40.646000000000001</v>
      </c>
      <c r="N27" s="494">
        <v>41.566000000000003</v>
      </c>
      <c r="O27" s="494">
        <v>44.314</v>
      </c>
      <c r="P27" s="494">
        <v>46.927999999999997</v>
      </c>
      <c r="Q27" s="494">
        <v>50.222999999999999</v>
      </c>
      <c r="R27" s="494">
        <v>52.62</v>
      </c>
    </row>
    <row r="28" spans="2:18" ht="15.75" x14ac:dyDescent="0.25">
      <c r="B28" s="493">
        <v>26</v>
      </c>
      <c r="C28" s="494">
        <v>38.884999999999998</v>
      </c>
      <c r="D28" s="494">
        <v>45.642000000000003</v>
      </c>
      <c r="E28" s="494">
        <v>54.052</v>
      </c>
      <c r="F28" s="145"/>
      <c r="G28" s="493">
        <v>26</v>
      </c>
      <c r="H28" s="494">
        <v>11.16</v>
      </c>
      <c r="I28" s="494">
        <v>13.843999999999999</v>
      </c>
      <c r="J28" s="494">
        <v>31.795000000000002</v>
      </c>
      <c r="K28" s="494">
        <v>35.563000000000002</v>
      </c>
      <c r="L28" s="494">
        <v>38.884999999999998</v>
      </c>
      <c r="M28" s="494">
        <v>41.923000000000002</v>
      </c>
      <c r="N28" s="494">
        <v>42.856000000000002</v>
      </c>
      <c r="O28" s="494">
        <v>45.642000000000003</v>
      </c>
      <c r="P28" s="494">
        <v>48.29</v>
      </c>
      <c r="Q28" s="494">
        <v>51.627000000000002</v>
      </c>
      <c r="R28" s="494">
        <v>54.052</v>
      </c>
    </row>
    <row r="29" spans="2:18" ht="15.75" x14ac:dyDescent="0.25">
      <c r="B29" s="493">
        <v>27</v>
      </c>
      <c r="C29" s="494">
        <v>40.113</v>
      </c>
      <c r="D29" s="494">
        <v>46.963000000000001</v>
      </c>
      <c r="E29" s="494">
        <v>55.475999999999999</v>
      </c>
      <c r="F29" s="145"/>
      <c r="G29" s="493">
        <v>27</v>
      </c>
      <c r="H29" s="494">
        <v>11.808</v>
      </c>
      <c r="I29" s="494">
        <v>14.573</v>
      </c>
      <c r="J29" s="494">
        <v>32.911999999999999</v>
      </c>
      <c r="K29" s="494">
        <v>36.741</v>
      </c>
      <c r="L29" s="494">
        <v>40.113</v>
      </c>
      <c r="M29" s="494">
        <v>43.195</v>
      </c>
      <c r="N29" s="494">
        <v>44.14</v>
      </c>
      <c r="O29" s="494">
        <v>46.963000000000001</v>
      </c>
      <c r="P29" s="494">
        <v>49.645000000000003</v>
      </c>
      <c r="Q29" s="494">
        <v>53.023000000000003</v>
      </c>
      <c r="R29" s="494">
        <v>55.475999999999999</v>
      </c>
    </row>
    <row r="30" spans="2:18" ht="15.75" x14ac:dyDescent="0.25">
      <c r="B30" s="493">
        <v>28</v>
      </c>
      <c r="C30" s="494">
        <v>41.337000000000003</v>
      </c>
      <c r="D30" s="494">
        <v>48.277999999999999</v>
      </c>
      <c r="E30" s="494">
        <v>56.892000000000003</v>
      </c>
      <c r="F30" s="145"/>
      <c r="G30" s="493">
        <v>28</v>
      </c>
      <c r="H30" s="494">
        <v>12.461</v>
      </c>
      <c r="I30" s="494">
        <v>15.308</v>
      </c>
      <c r="J30" s="494">
        <v>34.027000000000001</v>
      </c>
      <c r="K30" s="494">
        <v>37.915999999999997</v>
      </c>
      <c r="L30" s="494">
        <v>41.337000000000003</v>
      </c>
      <c r="M30" s="494">
        <v>44.460999999999999</v>
      </c>
      <c r="N30" s="494">
        <v>45.418999999999997</v>
      </c>
      <c r="O30" s="494">
        <v>48.277999999999999</v>
      </c>
      <c r="P30" s="494">
        <v>50.993000000000002</v>
      </c>
      <c r="Q30" s="494">
        <v>54.411000000000001</v>
      </c>
      <c r="R30" s="494">
        <v>56.892000000000003</v>
      </c>
    </row>
    <row r="31" spans="2:18" ht="15.75" x14ac:dyDescent="0.25">
      <c r="B31" s="493">
        <v>29</v>
      </c>
      <c r="C31" s="494">
        <v>42.557000000000002</v>
      </c>
      <c r="D31" s="494">
        <v>49.588000000000001</v>
      </c>
      <c r="E31" s="494">
        <v>58.301000000000002</v>
      </c>
      <c r="F31" s="145"/>
      <c r="G31" s="493">
        <v>29</v>
      </c>
      <c r="H31" s="494">
        <v>13.121</v>
      </c>
      <c r="I31" s="494">
        <v>16.047000000000001</v>
      </c>
      <c r="J31" s="494">
        <v>35.139000000000003</v>
      </c>
      <c r="K31" s="494">
        <v>39.087000000000003</v>
      </c>
      <c r="L31" s="494">
        <v>42.557000000000002</v>
      </c>
      <c r="M31" s="494">
        <v>45.722000000000001</v>
      </c>
      <c r="N31" s="494">
        <v>46.692999999999998</v>
      </c>
      <c r="O31" s="494">
        <v>49.588000000000001</v>
      </c>
      <c r="P31" s="494">
        <v>52.335999999999999</v>
      </c>
      <c r="Q31" s="494">
        <v>55.792000000000002</v>
      </c>
      <c r="R31" s="494">
        <v>58.301000000000002</v>
      </c>
    </row>
    <row r="32" spans="2:18" ht="15.75" x14ac:dyDescent="0.25">
      <c r="B32" s="493">
        <v>30</v>
      </c>
      <c r="C32" s="494">
        <v>43.773000000000003</v>
      </c>
      <c r="D32" s="494">
        <v>50.892000000000003</v>
      </c>
      <c r="E32" s="494">
        <v>59.703000000000003</v>
      </c>
      <c r="F32" s="145"/>
      <c r="G32" s="493">
        <v>30</v>
      </c>
      <c r="H32" s="494">
        <v>13.787000000000001</v>
      </c>
      <c r="I32" s="494">
        <v>16.791</v>
      </c>
      <c r="J32" s="494">
        <v>36.25</v>
      </c>
      <c r="K32" s="494">
        <v>40.256</v>
      </c>
      <c r="L32" s="494">
        <v>43.773000000000003</v>
      </c>
      <c r="M32" s="494">
        <v>46.978999999999999</v>
      </c>
      <c r="N32" s="494">
        <v>47.962000000000003</v>
      </c>
      <c r="O32" s="494">
        <v>50.892000000000003</v>
      </c>
      <c r="P32" s="494">
        <v>53.671999999999997</v>
      </c>
      <c r="Q32" s="494">
        <v>57.167000000000002</v>
      </c>
      <c r="R32" s="494">
        <v>59.703000000000003</v>
      </c>
    </row>
    <row r="33" spans="2:18" ht="15.75" x14ac:dyDescent="0.25">
      <c r="B33" s="493">
        <v>31</v>
      </c>
      <c r="C33" s="494">
        <v>44.984999999999999</v>
      </c>
      <c r="D33" s="494">
        <v>52.191000000000003</v>
      </c>
      <c r="E33" s="494">
        <v>61.097999999999999</v>
      </c>
      <c r="F33" s="145"/>
      <c r="G33" s="493">
        <v>31</v>
      </c>
      <c r="H33" s="494">
        <v>14.458</v>
      </c>
      <c r="I33" s="494">
        <v>17.539000000000001</v>
      </c>
      <c r="J33" s="494">
        <v>37.359000000000002</v>
      </c>
      <c r="K33" s="494">
        <v>41.421999999999997</v>
      </c>
      <c r="L33" s="494">
        <v>44.984999999999999</v>
      </c>
      <c r="M33" s="494">
        <v>48.231999999999999</v>
      </c>
      <c r="N33" s="494">
        <v>49.225999999999999</v>
      </c>
      <c r="O33" s="494">
        <v>52.191000000000003</v>
      </c>
      <c r="P33" s="494">
        <v>55.003</v>
      </c>
      <c r="Q33" s="494">
        <v>58.536000000000001</v>
      </c>
      <c r="R33" s="494">
        <v>61.097999999999999</v>
      </c>
    </row>
    <row r="34" spans="2:18" ht="15.75" x14ac:dyDescent="0.25">
      <c r="B34" s="493">
        <v>32</v>
      </c>
      <c r="C34" s="494">
        <v>46.194000000000003</v>
      </c>
      <c r="D34" s="494">
        <v>53.485999999999997</v>
      </c>
      <c r="E34" s="494">
        <v>62.487000000000002</v>
      </c>
      <c r="F34" s="145"/>
      <c r="G34" s="493">
        <v>32</v>
      </c>
      <c r="H34" s="494">
        <v>15.134</v>
      </c>
      <c r="I34" s="494">
        <v>18.291</v>
      </c>
      <c r="J34" s="494">
        <v>38.466000000000001</v>
      </c>
      <c r="K34" s="494">
        <v>42.585000000000001</v>
      </c>
      <c r="L34" s="494">
        <v>46.194000000000003</v>
      </c>
      <c r="M34" s="494">
        <v>49.48</v>
      </c>
      <c r="N34" s="494">
        <v>50.487000000000002</v>
      </c>
      <c r="O34" s="494">
        <v>53.485999999999997</v>
      </c>
      <c r="P34" s="494">
        <v>56.328000000000003</v>
      </c>
      <c r="Q34" s="494">
        <v>59.899000000000001</v>
      </c>
      <c r="R34" s="494">
        <v>62.487000000000002</v>
      </c>
    </row>
    <row r="35" spans="2:18" ht="15.75" x14ac:dyDescent="0.25">
      <c r="B35" s="493">
        <v>33</v>
      </c>
      <c r="C35" s="494">
        <v>47.4</v>
      </c>
      <c r="D35" s="494">
        <v>54.776000000000003</v>
      </c>
      <c r="E35" s="494">
        <v>63.87</v>
      </c>
      <c r="F35" s="145"/>
      <c r="G35" s="493">
        <v>33</v>
      </c>
      <c r="H35" s="494">
        <v>15.815</v>
      </c>
      <c r="I35" s="494">
        <v>19.047000000000001</v>
      </c>
      <c r="J35" s="494">
        <v>39.572000000000003</v>
      </c>
      <c r="K35" s="494">
        <v>43.744999999999997</v>
      </c>
      <c r="L35" s="494">
        <v>47.4</v>
      </c>
      <c r="M35" s="494">
        <v>50.725000000000001</v>
      </c>
      <c r="N35" s="494">
        <v>51.743000000000002</v>
      </c>
      <c r="O35" s="494">
        <v>54.776000000000003</v>
      </c>
      <c r="P35" s="494">
        <v>57.648000000000003</v>
      </c>
      <c r="Q35" s="494">
        <v>61.256</v>
      </c>
      <c r="R35" s="494">
        <v>63.87</v>
      </c>
    </row>
    <row r="36" spans="2:18" ht="15.75" x14ac:dyDescent="0.25">
      <c r="B36" s="493">
        <v>34</v>
      </c>
      <c r="C36" s="494">
        <v>48.601999999999997</v>
      </c>
      <c r="D36" s="494">
        <v>56.061</v>
      </c>
      <c r="E36" s="494">
        <v>65.247</v>
      </c>
      <c r="F36" s="145"/>
      <c r="G36" s="493">
        <v>34</v>
      </c>
      <c r="H36" s="494">
        <v>16.501000000000001</v>
      </c>
      <c r="I36" s="494">
        <v>19.806000000000001</v>
      </c>
      <c r="J36" s="494">
        <v>40.676000000000002</v>
      </c>
      <c r="K36" s="494">
        <v>44.902999999999999</v>
      </c>
      <c r="L36" s="494">
        <v>48.601999999999997</v>
      </c>
      <c r="M36" s="494">
        <v>51.966000000000001</v>
      </c>
      <c r="N36" s="494">
        <v>52.994999999999997</v>
      </c>
      <c r="O36" s="494">
        <v>56.061</v>
      </c>
      <c r="P36" s="494">
        <v>58.963999999999999</v>
      </c>
      <c r="Q36" s="494">
        <v>62.607999999999997</v>
      </c>
      <c r="R36" s="494">
        <v>65.247</v>
      </c>
    </row>
    <row r="37" spans="2:18" ht="15.75" x14ac:dyDescent="0.25">
      <c r="B37" s="493">
        <v>35</v>
      </c>
      <c r="C37" s="494">
        <v>49.802</v>
      </c>
      <c r="D37" s="494">
        <v>57.341999999999999</v>
      </c>
      <c r="E37" s="494">
        <v>66.619</v>
      </c>
      <c r="F37" s="145"/>
      <c r="G37" s="493">
        <v>35</v>
      </c>
      <c r="H37" s="494">
        <v>17.192</v>
      </c>
      <c r="I37" s="494">
        <v>20.568999999999999</v>
      </c>
      <c r="J37" s="494">
        <v>41.777999999999999</v>
      </c>
      <c r="K37" s="494">
        <v>46.058999999999997</v>
      </c>
      <c r="L37" s="494">
        <v>49.802</v>
      </c>
      <c r="M37" s="494">
        <v>53.203000000000003</v>
      </c>
      <c r="N37" s="494">
        <v>54.244</v>
      </c>
      <c r="O37" s="494">
        <v>57.341999999999999</v>
      </c>
      <c r="P37" s="494">
        <v>60.274999999999999</v>
      </c>
      <c r="Q37" s="494">
        <v>63.954999999999998</v>
      </c>
      <c r="R37" s="494">
        <v>66.619</v>
      </c>
    </row>
    <row r="38" spans="2:18" ht="15.75" x14ac:dyDescent="0.25">
      <c r="B38" s="493">
        <v>36</v>
      </c>
      <c r="C38" s="494">
        <v>50.997999999999998</v>
      </c>
      <c r="D38" s="494">
        <v>58.619</v>
      </c>
      <c r="E38" s="494">
        <v>67.984999999999999</v>
      </c>
      <c r="F38" s="145"/>
      <c r="G38" s="493">
        <v>36</v>
      </c>
      <c r="H38" s="494">
        <v>17.887</v>
      </c>
      <c r="I38" s="494">
        <v>21.335999999999999</v>
      </c>
      <c r="J38" s="494">
        <v>42.878999999999998</v>
      </c>
      <c r="K38" s="494">
        <v>47.212000000000003</v>
      </c>
      <c r="L38" s="494">
        <v>50.997999999999998</v>
      </c>
      <c r="M38" s="494">
        <v>54.436999999999998</v>
      </c>
      <c r="N38" s="494">
        <v>55.488999999999997</v>
      </c>
      <c r="O38" s="494">
        <v>58.619</v>
      </c>
      <c r="P38" s="494">
        <v>61.581000000000003</v>
      </c>
      <c r="Q38" s="494">
        <v>65.296000000000006</v>
      </c>
      <c r="R38" s="494">
        <v>67.984999999999999</v>
      </c>
    </row>
    <row r="39" spans="2:18" ht="15.75" x14ac:dyDescent="0.25">
      <c r="B39" s="493">
        <v>37</v>
      </c>
      <c r="C39" s="494">
        <v>52.192</v>
      </c>
      <c r="D39" s="494">
        <v>59.893000000000001</v>
      </c>
      <c r="E39" s="494">
        <v>69.346000000000004</v>
      </c>
      <c r="F39" s="145"/>
      <c r="G39" s="493">
        <v>37</v>
      </c>
      <c r="H39" s="494">
        <v>18.585999999999999</v>
      </c>
      <c r="I39" s="494">
        <v>22.106000000000002</v>
      </c>
      <c r="J39" s="494">
        <v>43.978000000000002</v>
      </c>
      <c r="K39" s="494">
        <v>48.363</v>
      </c>
      <c r="L39" s="494">
        <v>52.192</v>
      </c>
      <c r="M39" s="494">
        <v>55.667999999999999</v>
      </c>
      <c r="N39" s="494">
        <v>56.73</v>
      </c>
      <c r="O39" s="494">
        <v>59.893000000000001</v>
      </c>
      <c r="P39" s="494">
        <v>62.883000000000003</v>
      </c>
      <c r="Q39" s="494">
        <v>66.632999999999996</v>
      </c>
      <c r="R39" s="494">
        <v>69.346000000000004</v>
      </c>
    </row>
    <row r="40" spans="2:18" ht="15.75" x14ac:dyDescent="0.25">
      <c r="B40" s="493">
        <v>38</v>
      </c>
      <c r="C40" s="494">
        <v>53.384</v>
      </c>
      <c r="D40" s="494">
        <v>61.161999999999999</v>
      </c>
      <c r="E40" s="494">
        <v>70.703000000000003</v>
      </c>
      <c r="F40" s="145"/>
      <c r="G40" s="493">
        <v>38</v>
      </c>
      <c r="H40" s="494">
        <v>19.289000000000001</v>
      </c>
      <c r="I40" s="494">
        <v>22.878</v>
      </c>
      <c r="J40" s="494">
        <v>45.076000000000001</v>
      </c>
      <c r="K40" s="494">
        <v>49.512999999999998</v>
      </c>
      <c r="L40" s="494">
        <v>53.384</v>
      </c>
      <c r="M40" s="494">
        <v>56.896000000000001</v>
      </c>
      <c r="N40" s="494">
        <v>57.969000000000001</v>
      </c>
      <c r="O40" s="494">
        <v>61.161999999999999</v>
      </c>
      <c r="P40" s="494">
        <v>64.180999999999997</v>
      </c>
      <c r="Q40" s="494">
        <v>67.965999999999994</v>
      </c>
      <c r="R40" s="494">
        <v>70.703000000000003</v>
      </c>
    </row>
    <row r="41" spans="2:18" ht="15.75" x14ac:dyDescent="0.25">
      <c r="B41" s="493">
        <v>39</v>
      </c>
      <c r="C41" s="494">
        <v>54.572000000000003</v>
      </c>
      <c r="D41" s="494">
        <v>62.427999999999997</v>
      </c>
      <c r="E41" s="494">
        <v>72.055000000000007</v>
      </c>
      <c r="F41" s="145"/>
      <c r="G41" s="493">
        <v>39</v>
      </c>
      <c r="H41" s="494">
        <v>19.995999999999999</v>
      </c>
      <c r="I41" s="494">
        <v>23.654</v>
      </c>
      <c r="J41" s="494">
        <v>46.173000000000002</v>
      </c>
      <c r="K41" s="494">
        <v>50.66</v>
      </c>
      <c r="L41" s="494">
        <v>54.572000000000003</v>
      </c>
      <c r="M41" s="494">
        <v>58.12</v>
      </c>
      <c r="N41" s="494">
        <v>59.204000000000001</v>
      </c>
      <c r="O41" s="494">
        <v>62.427999999999997</v>
      </c>
      <c r="P41" s="494">
        <v>65.475999999999999</v>
      </c>
      <c r="Q41" s="494">
        <v>69.293999999999997</v>
      </c>
      <c r="R41" s="494">
        <v>72.055000000000007</v>
      </c>
    </row>
    <row r="42" spans="2:18" ht="15.75" x14ac:dyDescent="0.25">
      <c r="B42" s="493">
        <v>40</v>
      </c>
      <c r="C42" s="494">
        <v>55.758000000000003</v>
      </c>
      <c r="D42" s="494">
        <v>63.691000000000003</v>
      </c>
      <c r="E42" s="494">
        <v>73.402000000000001</v>
      </c>
      <c r="F42" s="145"/>
      <c r="G42" s="493">
        <v>40</v>
      </c>
      <c r="H42" s="494">
        <v>20.707000000000001</v>
      </c>
      <c r="I42" s="494">
        <v>24.433</v>
      </c>
      <c r="J42" s="494">
        <v>47.268999999999998</v>
      </c>
      <c r="K42" s="494">
        <v>51.805</v>
      </c>
      <c r="L42" s="494">
        <v>55.758000000000003</v>
      </c>
      <c r="M42" s="494">
        <v>59.341999999999999</v>
      </c>
      <c r="N42" s="494">
        <v>60.436</v>
      </c>
      <c r="O42" s="494">
        <v>63.691000000000003</v>
      </c>
      <c r="P42" s="494">
        <v>66.766000000000005</v>
      </c>
      <c r="Q42" s="494">
        <v>70.617999999999995</v>
      </c>
      <c r="R42" s="494">
        <v>73.402000000000001</v>
      </c>
    </row>
    <row r="43" spans="2:18" ht="15.75" x14ac:dyDescent="0.25">
      <c r="B43" s="493">
        <v>41</v>
      </c>
      <c r="C43" s="494">
        <v>56.942</v>
      </c>
      <c r="D43" s="494">
        <v>64.95</v>
      </c>
      <c r="E43" s="494">
        <v>74.745000000000005</v>
      </c>
      <c r="F43" s="145"/>
      <c r="G43" s="493">
        <v>41</v>
      </c>
      <c r="H43" s="494">
        <v>21.420999999999999</v>
      </c>
      <c r="I43" s="494">
        <v>25.215</v>
      </c>
      <c r="J43" s="494">
        <v>48.363</v>
      </c>
      <c r="K43" s="494">
        <v>52.948999999999998</v>
      </c>
      <c r="L43" s="494">
        <v>56.942</v>
      </c>
      <c r="M43" s="494">
        <v>60.561</v>
      </c>
      <c r="N43" s="494">
        <v>61.664999999999999</v>
      </c>
      <c r="O43" s="494">
        <v>64.95</v>
      </c>
      <c r="P43" s="494">
        <v>68.052999999999997</v>
      </c>
      <c r="Q43" s="494">
        <v>71.938000000000002</v>
      </c>
      <c r="R43" s="494">
        <v>74.745000000000005</v>
      </c>
    </row>
    <row r="44" spans="2:18" ht="15.75" x14ac:dyDescent="0.25">
      <c r="B44" s="493">
        <v>42</v>
      </c>
      <c r="C44" s="494">
        <v>58.124000000000002</v>
      </c>
      <c r="D44" s="494">
        <v>66.206000000000003</v>
      </c>
      <c r="E44" s="494">
        <v>76.084000000000003</v>
      </c>
      <c r="F44" s="145"/>
      <c r="G44" s="493">
        <v>42</v>
      </c>
      <c r="H44" s="494">
        <v>22.138000000000002</v>
      </c>
      <c r="I44" s="494">
        <v>25.998999999999999</v>
      </c>
      <c r="J44" s="494">
        <v>49.456000000000003</v>
      </c>
      <c r="K44" s="494">
        <v>54.09</v>
      </c>
      <c r="L44" s="494">
        <v>58.124000000000002</v>
      </c>
      <c r="M44" s="494">
        <v>61.777000000000001</v>
      </c>
      <c r="N44" s="494">
        <v>62.892000000000003</v>
      </c>
      <c r="O44" s="494">
        <v>66.206000000000003</v>
      </c>
      <c r="P44" s="494">
        <v>69.335999999999999</v>
      </c>
      <c r="Q44" s="494">
        <v>73.254000000000005</v>
      </c>
      <c r="R44" s="494">
        <v>76.084000000000003</v>
      </c>
    </row>
    <row r="45" spans="2:18" ht="15.75" x14ac:dyDescent="0.25">
      <c r="B45" s="493">
        <v>43</v>
      </c>
      <c r="C45" s="494">
        <v>59.304000000000002</v>
      </c>
      <c r="D45" s="494">
        <v>67.459000000000003</v>
      </c>
      <c r="E45" s="494">
        <v>77.418999999999997</v>
      </c>
      <c r="F45" s="145"/>
      <c r="G45" s="493">
        <v>43</v>
      </c>
      <c r="H45" s="494">
        <v>22.859000000000002</v>
      </c>
      <c r="I45" s="494">
        <v>26.785</v>
      </c>
      <c r="J45" s="494">
        <v>50.548000000000002</v>
      </c>
      <c r="K45" s="494">
        <v>55.23</v>
      </c>
      <c r="L45" s="494">
        <v>59.304000000000002</v>
      </c>
      <c r="M45" s="494">
        <v>62.99</v>
      </c>
      <c r="N45" s="494">
        <v>64.116</v>
      </c>
      <c r="O45" s="494">
        <v>67.459000000000003</v>
      </c>
      <c r="P45" s="494">
        <v>70.616</v>
      </c>
      <c r="Q45" s="494">
        <v>74.566000000000003</v>
      </c>
      <c r="R45" s="494">
        <v>77.418999999999997</v>
      </c>
    </row>
    <row r="46" spans="2:18" ht="15.75" x14ac:dyDescent="0.25">
      <c r="B46" s="493">
        <v>44</v>
      </c>
      <c r="C46" s="494">
        <v>60.481000000000002</v>
      </c>
      <c r="D46" s="494">
        <v>68.709999999999994</v>
      </c>
      <c r="E46" s="494">
        <v>78.75</v>
      </c>
      <c r="F46" s="145"/>
      <c r="G46" s="493">
        <v>44</v>
      </c>
      <c r="H46" s="494">
        <v>23.584</v>
      </c>
      <c r="I46" s="494">
        <v>27.574999999999999</v>
      </c>
      <c r="J46" s="494">
        <v>51.639000000000003</v>
      </c>
      <c r="K46" s="494">
        <v>56.369</v>
      </c>
      <c r="L46" s="494">
        <v>60.481000000000002</v>
      </c>
      <c r="M46" s="494">
        <v>64.200999999999993</v>
      </c>
      <c r="N46" s="494">
        <v>65.337000000000003</v>
      </c>
      <c r="O46" s="494">
        <v>68.709999999999994</v>
      </c>
      <c r="P46" s="494">
        <v>71.893000000000001</v>
      </c>
      <c r="Q46" s="494">
        <v>75.873999999999995</v>
      </c>
      <c r="R46" s="494">
        <v>78.75</v>
      </c>
    </row>
    <row r="47" spans="2:18" ht="15.75" x14ac:dyDescent="0.25">
      <c r="B47" s="493">
        <v>45</v>
      </c>
      <c r="C47" s="494">
        <v>61.655999999999999</v>
      </c>
      <c r="D47" s="494">
        <v>69.956999999999994</v>
      </c>
      <c r="E47" s="494">
        <v>80.076999999999998</v>
      </c>
      <c r="F47" s="145"/>
      <c r="G47" s="493">
        <v>45</v>
      </c>
      <c r="H47" s="494">
        <v>24.311</v>
      </c>
      <c r="I47" s="494">
        <v>28.366</v>
      </c>
      <c r="J47" s="494">
        <v>52.728999999999999</v>
      </c>
      <c r="K47" s="494">
        <v>57.505000000000003</v>
      </c>
      <c r="L47" s="494">
        <v>61.655999999999999</v>
      </c>
      <c r="M47" s="494">
        <v>65.41</v>
      </c>
      <c r="N47" s="494">
        <v>66.555000000000007</v>
      </c>
      <c r="O47" s="494">
        <v>69.956999999999994</v>
      </c>
      <c r="P47" s="494">
        <v>73.165999999999997</v>
      </c>
      <c r="Q47" s="494">
        <v>77.179000000000002</v>
      </c>
      <c r="R47" s="494">
        <v>80.076999999999998</v>
      </c>
    </row>
    <row r="48" spans="2:18" ht="15.75" x14ac:dyDescent="0.25">
      <c r="B48" s="493">
        <v>46</v>
      </c>
      <c r="C48" s="494">
        <v>62.83</v>
      </c>
      <c r="D48" s="494">
        <v>71.200999999999993</v>
      </c>
      <c r="E48" s="494">
        <v>81.400000000000006</v>
      </c>
      <c r="F48" s="145"/>
      <c r="G48" s="493">
        <v>46</v>
      </c>
      <c r="H48" s="494">
        <v>25.041</v>
      </c>
      <c r="I48" s="494">
        <v>29.16</v>
      </c>
      <c r="J48" s="494">
        <v>53.817999999999998</v>
      </c>
      <c r="K48" s="494">
        <v>58.640999999999998</v>
      </c>
      <c r="L48" s="494">
        <v>62.83</v>
      </c>
      <c r="M48" s="494">
        <v>66.617000000000004</v>
      </c>
      <c r="N48" s="494">
        <v>67.771000000000001</v>
      </c>
      <c r="O48" s="494">
        <v>71.200999999999993</v>
      </c>
      <c r="P48" s="494">
        <v>74.436999999999998</v>
      </c>
      <c r="Q48" s="494">
        <v>78.480999999999995</v>
      </c>
      <c r="R48" s="494">
        <v>81.400000000000006</v>
      </c>
    </row>
    <row r="49" spans="2:18" ht="15.75" x14ac:dyDescent="0.25">
      <c r="B49" s="493">
        <v>47</v>
      </c>
      <c r="C49" s="494">
        <v>64.001000000000005</v>
      </c>
      <c r="D49" s="494">
        <v>72.442999999999998</v>
      </c>
      <c r="E49" s="494">
        <v>82.72</v>
      </c>
      <c r="F49" s="145"/>
      <c r="G49" s="493">
        <v>47</v>
      </c>
      <c r="H49" s="494">
        <v>25.774999999999999</v>
      </c>
      <c r="I49" s="494">
        <v>29.956</v>
      </c>
      <c r="J49" s="494">
        <v>54.905999999999999</v>
      </c>
      <c r="K49" s="494">
        <v>59.774000000000001</v>
      </c>
      <c r="L49" s="494">
        <v>64.001000000000005</v>
      </c>
      <c r="M49" s="494">
        <v>67.820999999999998</v>
      </c>
      <c r="N49" s="494">
        <v>68.984999999999999</v>
      </c>
      <c r="O49" s="494">
        <v>72.442999999999998</v>
      </c>
      <c r="P49" s="494">
        <v>75.703999999999994</v>
      </c>
      <c r="Q49" s="494">
        <v>79.78</v>
      </c>
      <c r="R49" s="494">
        <v>82.72</v>
      </c>
    </row>
    <row r="50" spans="2:18" ht="15.75" x14ac:dyDescent="0.25">
      <c r="B50" s="493">
        <v>48</v>
      </c>
      <c r="C50" s="494">
        <v>65.171000000000006</v>
      </c>
      <c r="D50" s="494">
        <v>73.683000000000007</v>
      </c>
      <c r="E50" s="494">
        <v>84.037000000000006</v>
      </c>
      <c r="F50" s="145"/>
      <c r="G50" s="493">
        <v>48</v>
      </c>
      <c r="H50" s="494">
        <v>26.510999999999999</v>
      </c>
      <c r="I50" s="494">
        <v>30.754999999999999</v>
      </c>
      <c r="J50" s="494">
        <v>55.993000000000002</v>
      </c>
      <c r="K50" s="494">
        <v>60.906999999999996</v>
      </c>
      <c r="L50" s="494">
        <v>65.171000000000006</v>
      </c>
      <c r="M50" s="494">
        <v>69.022999999999996</v>
      </c>
      <c r="N50" s="494">
        <v>70.197000000000003</v>
      </c>
      <c r="O50" s="494">
        <v>73.683000000000007</v>
      </c>
      <c r="P50" s="494">
        <v>76.968999999999994</v>
      </c>
      <c r="Q50" s="494">
        <v>81.075000000000003</v>
      </c>
      <c r="R50" s="494">
        <v>84.037000000000006</v>
      </c>
    </row>
    <row r="51" spans="2:18" ht="15.75" x14ac:dyDescent="0.25">
      <c r="B51" s="493">
        <v>49</v>
      </c>
      <c r="C51" s="494">
        <v>66.338999999999999</v>
      </c>
      <c r="D51" s="494">
        <v>74.918999999999997</v>
      </c>
      <c r="E51" s="494">
        <v>85.350999999999999</v>
      </c>
      <c r="F51" s="145"/>
      <c r="G51" s="493">
        <v>49</v>
      </c>
      <c r="H51" s="494">
        <v>27.248999999999999</v>
      </c>
      <c r="I51" s="494">
        <v>31.555</v>
      </c>
      <c r="J51" s="494">
        <v>57.079000000000001</v>
      </c>
      <c r="K51" s="494">
        <v>62.037999999999997</v>
      </c>
      <c r="L51" s="494">
        <v>66.338999999999999</v>
      </c>
      <c r="M51" s="494">
        <v>70.221999999999994</v>
      </c>
      <c r="N51" s="494">
        <v>71.406000000000006</v>
      </c>
      <c r="O51" s="494">
        <v>74.918999999999997</v>
      </c>
      <c r="P51" s="494">
        <v>78.230999999999995</v>
      </c>
      <c r="Q51" s="494">
        <v>82.367000000000004</v>
      </c>
      <c r="R51" s="494">
        <v>85.350999999999999</v>
      </c>
    </row>
    <row r="52" spans="2:18" ht="15.75" x14ac:dyDescent="0.25">
      <c r="B52" s="493">
        <v>50</v>
      </c>
      <c r="C52" s="494">
        <v>67.504999999999995</v>
      </c>
      <c r="D52" s="494">
        <v>76.153999999999996</v>
      </c>
      <c r="E52" s="494">
        <v>86.661000000000001</v>
      </c>
      <c r="F52" s="145"/>
      <c r="G52" s="493">
        <v>50</v>
      </c>
      <c r="H52" s="494">
        <v>27.991</v>
      </c>
      <c r="I52" s="494">
        <v>32.356999999999999</v>
      </c>
      <c r="J52" s="494">
        <v>58.164000000000001</v>
      </c>
      <c r="K52" s="494">
        <v>63.167000000000002</v>
      </c>
      <c r="L52" s="494">
        <v>67.504999999999995</v>
      </c>
      <c r="M52" s="494">
        <v>71.42</v>
      </c>
      <c r="N52" s="494">
        <v>72.613</v>
      </c>
      <c r="O52" s="494">
        <v>76.153999999999996</v>
      </c>
      <c r="P52" s="494">
        <v>79.489999999999995</v>
      </c>
      <c r="Q52" s="494">
        <v>83.656999999999996</v>
      </c>
      <c r="R52" s="494">
        <v>86.661000000000001</v>
      </c>
    </row>
    <row r="53" spans="2:18" ht="15.75" x14ac:dyDescent="0.25">
      <c r="B53" s="493">
        <v>51</v>
      </c>
      <c r="C53" s="494">
        <v>68.668999999999997</v>
      </c>
      <c r="D53" s="494">
        <v>77.385999999999996</v>
      </c>
      <c r="E53" s="494">
        <v>87.968000000000004</v>
      </c>
      <c r="F53" s="145"/>
      <c r="G53" s="493">
        <v>51</v>
      </c>
      <c r="H53" s="494">
        <v>28.734999999999999</v>
      </c>
      <c r="I53" s="494">
        <v>33.161999999999999</v>
      </c>
      <c r="J53" s="494">
        <v>59.247999999999998</v>
      </c>
      <c r="K53" s="494">
        <v>64.295000000000002</v>
      </c>
      <c r="L53" s="494">
        <v>68.668999999999997</v>
      </c>
      <c r="M53" s="494">
        <v>72.616</v>
      </c>
      <c r="N53" s="494">
        <v>73.817999999999998</v>
      </c>
      <c r="O53" s="494">
        <v>77.385999999999996</v>
      </c>
      <c r="P53" s="494">
        <v>80.747</v>
      </c>
      <c r="Q53" s="494">
        <v>84.942999999999998</v>
      </c>
      <c r="R53" s="494">
        <v>87.968000000000004</v>
      </c>
    </row>
    <row r="54" spans="2:18" ht="15.75" x14ac:dyDescent="0.25">
      <c r="B54" s="493">
        <v>52</v>
      </c>
      <c r="C54" s="494">
        <v>69.831999999999994</v>
      </c>
      <c r="D54" s="494">
        <v>78.616</v>
      </c>
      <c r="E54" s="494">
        <v>89.272000000000006</v>
      </c>
      <c r="F54" s="145"/>
      <c r="G54" s="493">
        <v>52</v>
      </c>
      <c r="H54" s="494">
        <v>29.481000000000002</v>
      </c>
      <c r="I54" s="494">
        <v>33.968000000000004</v>
      </c>
      <c r="J54" s="494">
        <v>60.332000000000001</v>
      </c>
      <c r="K54" s="494">
        <v>65.421999999999997</v>
      </c>
      <c r="L54" s="494">
        <v>69.831999999999994</v>
      </c>
      <c r="M54" s="494">
        <v>73.81</v>
      </c>
      <c r="N54" s="494">
        <v>75.021000000000001</v>
      </c>
      <c r="O54" s="494">
        <v>78.616</v>
      </c>
      <c r="P54" s="494">
        <v>82.001000000000005</v>
      </c>
      <c r="Q54" s="494">
        <v>86.227000000000004</v>
      </c>
      <c r="R54" s="494">
        <v>89.272000000000006</v>
      </c>
    </row>
    <row r="55" spans="2:18" ht="15.75" x14ac:dyDescent="0.25">
      <c r="B55" s="493">
        <v>53</v>
      </c>
      <c r="C55" s="494">
        <v>70.992999999999995</v>
      </c>
      <c r="D55" s="494">
        <v>79.843000000000004</v>
      </c>
      <c r="E55" s="494">
        <v>90.572999999999993</v>
      </c>
      <c r="F55" s="145"/>
      <c r="G55" s="493">
        <v>53</v>
      </c>
      <c r="H55" s="494">
        <v>30.23</v>
      </c>
      <c r="I55" s="494">
        <v>34.776000000000003</v>
      </c>
      <c r="J55" s="494">
        <v>61.414000000000001</v>
      </c>
      <c r="K55" s="494">
        <v>66.548000000000002</v>
      </c>
      <c r="L55" s="494">
        <v>70.992999999999995</v>
      </c>
      <c r="M55" s="494">
        <v>75.001999999999995</v>
      </c>
      <c r="N55" s="494">
        <v>76.222999999999999</v>
      </c>
      <c r="O55" s="494">
        <v>79.843000000000004</v>
      </c>
      <c r="P55" s="494">
        <v>83.253</v>
      </c>
      <c r="Q55" s="494">
        <v>87.507000000000005</v>
      </c>
      <c r="R55" s="494">
        <v>90.572999999999993</v>
      </c>
    </row>
    <row r="56" spans="2:18" ht="15.75" x14ac:dyDescent="0.25">
      <c r="B56" s="493">
        <v>54</v>
      </c>
      <c r="C56" s="494">
        <v>72.153000000000006</v>
      </c>
      <c r="D56" s="494">
        <v>81.069000000000003</v>
      </c>
      <c r="E56" s="494">
        <v>91.872</v>
      </c>
      <c r="F56" s="145"/>
      <c r="G56" s="493">
        <v>54</v>
      </c>
      <c r="H56" s="494">
        <v>30.981000000000002</v>
      </c>
      <c r="I56" s="494">
        <v>35.585999999999999</v>
      </c>
      <c r="J56" s="494">
        <v>62.496000000000002</v>
      </c>
      <c r="K56" s="494">
        <v>67.673000000000002</v>
      </c>
      <c r="L56" s="494">
        <v>72.153000000000006</v>
      </c>
      <c r="M56" s="494">
        <v>76.191999999999993</v>
      </c>
      <c r="N56" s="494">
        <v>77.421999999999997</v>
      </c>
      <c r="O56" s="494">
        <v>81.069000000000003</v>
      </c>
      <c r="P56" s="494">
        <v>84.501999999999995</v>
      </c>
      <c r="Q56" s="494">
        <v>88.786000000000001</v>
      </c>
      <c r="R56" s="494">
        <v>91.872</v>
      </c>
    </row>
    <row r="57" spans="2:18" ht="15.75" x14ac:dyDescent="0.25">
      <c r="B57" s="493">
        <v>55</v>
      </c>
      <c r="C57" s="494">
        <v>73.311000000000007</v>
      </c>
      <c r="D57" s="494">
        <v>82.292000000000002</v>
      </c>
      <c r="E57" s="494">
        <v>93.168000000000006</v>
      </c>
      <c r="F57" s="145"/>
      <c r="G57" s="493">
        <v>55</v>
      </c>
      <c r="H57" s="494">
        <v>31.734999999999999</v>
      </c>
      <c r="I57" s="494">
        <v>36.398000000000003</v>
      </c>
      <c r="J57" s="494">
        <v>63.576999999999998</v>
      </c>
      <c r="K57" s="494">
        <v>68.796000000000006</v>
      </c>
      <c r="L57" s="494">
        <v>73.311000000000007</v>
      </c>
      <c r="M57" s="494">
        <v>77.38</v>
      </c>
      <c r="N57" s="494">
        <v>78.619</v>
      </c>
      <c r="O57" s="494">
        <v>82.292000000000002</v>
      </c>
      <c r="P57" s="494">
        <v>85.748999999999995</v>
      </c>
      <c r="Q57" s="494">
        <v>90.061000000000007</v>
      </c>
      <c r="R57" s="494">
        <v>93.168000000000006</v>
      </c>
    </row>
    <row r="58" spans="2:18" ht="15.75" x14ac:dyDescent="0.25">
      <c r="B58" s="493">
        <v>56</v>
      </c>
      <c r="C58" s="494">
        <v>74.468000000000004</v>
      </c>
      <c r="D58" s="494">
        <v>83.513000000000005</v>
      </c>
      <c r="E58" s="494">
        <v>94.460999999999999</v>
      </c>
      <c r="F58" s="145"/>
      <c r="G58" s="493">
        <v>56</v>
      </c>
      <c r="H58" s="494">
        <v>32.49</v>
      </c>
      <c r="I58" s="494">
        <v>37.212000000000003</v>
      </c>
      <c r="J58" s="494">
        <v>64.658000000000001</v>
      </c>
      <c r="K58" s="494">
        <v>69.918999999999997</v>
      </c>
      <c r="L58" s="494">
        <v>74.468000000000004</v>
      </c>
      <c r="M58" s="494">
        <v>78.566999999999993</v>
      </c>
      <c r="N58" s="494">
        <v>79.814999999999998</v>
      </c>
      <c r="O58" s="494">
        <v>83.513000000000005</v>
      </c>
      <c r="P58" s="494">
        <v>86.994</v>
      </c>
      <c r="Q58" s="494">
        <v>91.334999999999994</v>
      </c>
      <c r="R58" s="494">
        <v>94.460999999999999</v>
      </c>
    </row>
    <row r="59" spans="2:18" ht="15.75" x14ac:dyDescent="0.25">
      <c r="B59" s="493">
        <v>57</v>
      </c>
      <c r="C59" s="494">
        <v>75.623999999999995</v>
      </c>
      <c r="D59" s="494">
        <v>84.733000000000004</v>
      </c>
      <c r="E59" s="494">
        <v>95.751000000000005</v>
      </c>
      <c r="F59" s="145"/>
      <c r="G59" s="493">
        <v>57</v>
      </c>
      <c r="H59" s="494">
        <v>33.247999999999998</v>
      </c>
      <c r="I59" s="494">
        <v>38.027000000000001</v>
      </c>
      <c r="J59" s="494">
        <v>65.736999999999995</v>
      </c>
      <c r="K59" s="494">
        <v>71.040000000000006</v>
      </c>
      <c r="L59" s="494">
        <v>75.623999999999995</v>
      </c>
      <c r="M59" s="494">
        <v>79.751999999999995</v>
      </c>
      <c r="N59" s="494">
        <v>81.009</v>
      </c>
      <c r="O59" s="494">
        <v>84.733000000000004</v>
      </c>
      <c r="P59" s="494">
        <v>88.236000000000004</v>
      </c>
      <c r="Q59" s="494">
        <v>92.605000000000004</v>
      </c>
      <c r="R59" s="494">
        <v>95.751000000000005</v>
      </c>
    </row>
    <row r="60" spans="2:18" ht="15.75" x14ac:dyDescent="0.25">
      <c r="B60" s="493">
        <v>58</v>
      </c>
      <c r="C60" s="494">
        <v>76.778000000000006</v>
      </c>
      <c r="D60" s="494">
        <v>85.95</v>
      </c>
      <c r="E60" s="494">
        <v>97.039000000000001</v>
      </c>
      <c r="F60" s="145"/>
      <c r="G60" s="493">
        <v>58</v>
      </c>
      <c r="H60" s="494">
        <v>34.008000000000003</v>
      </c>
      <c r="I60" s="494">
        <v>38.844000000000001</v>
      </c>
      <c r="J60" s="494">
        <v>66.816000000000003</v>
      </c>
      <c r="K60" s="494">
        <v>72.16</v>
      </c>
      <c r="L60" s="494">
        <v>76.778000000000006</v>
      </c>
      <c r="M60" s="494">
        <v>80.936000000000007</v>
      </c>
      <c r="N60" s="494">
        <v>82.200999999999993</v>
      </c>
      <c r="O60" s="494">
        <v>85.95</v>
      </c>
      <c r="P60" s="494">
        <v>89.477000000000004</v>
      </c>
      <c r="Q60" s="494">
        <v>93.873999999999995</v>
      </c>
      <c r="R60" s="494">
        <v>97.039000000000001</v>
      </c>
    </row>
    <row r="61" spans="2:18" ht="15.75" x14ac:dyDescent="0.25">
      <c r="B61" s="493">
        <v>59</v>
      </c>
      <c r="C61" s="494">
        <v>77.930999999999997</v>
      </c>
      <c r="D61" s="494">
        <v>87.165999999999997</v>
      </c>
      <c r="E61" s="494">
        <v>98.323999999999998</v>
      </c>
      <c r="F61" s="145"/>
      <c r="G61" s="493">
        <v>59</v>
      </c>
      <c r="H61" s="494">
        <v>34.770000000000003</v>
      </c>
      <c r="I61" s="494">
        <v>39.661999999999999</v>
      </c>
      <c r="J61" s="494">
        <v>67.894000000000005</v>
      </c>
      <c r="K61" s="494">
        <v>73.278999999999996</v>
      </c>
      <c r="L61" s="494">
        <v>77.930999999999997</v>
      </c>
      <c r="M61" s="494">
        <v>82.117000000000004</v>
      </c>
      <c r="N61" s="494">
        <v>83.391000000000005</v>
      </c>
      <c r="O61" s="494">
        <v>87.165999999999997</v>
      </c>
      <c r="P61" s="494">
        <v>90.715000000000003</v>
      </c>
      <c r="Q61" s="494">
        <v>95.14</v>
      </c>
      <c r="R61" s="494">
        <v>98.323999999999998</v>
      </c>
    </row>
    <row r="62" spans="2:18" ht="15.75" x14ac:dyDescent="0.25">
      <c r="B62" s="493">
        <v>60</v>
      </c>
      <c r="C62" s="494">
        <v>79.081999999999994</v>
      </c>
      <c r="D62" s="494">
        <v>88.379000000000005</v>
      </c>
      <c r="E62" s="494">
        <v>99.606999999999999</v>
      </c>
      <c r="F62" s="145"/>
      <c r="G62" s="493">
        <v>60</v>
      </c>
      <c r="H62" s="494">
        <v>35.533999999999999</v>
      </c>
      <c r="I62" s="494">
        <v>40.481999999999999</v>
      </c>
      <c r="J62" s="494">
        <v>68.971999999999994</v>
      </c>
      <c r="K62" s="494">
        <v>74.397000000000006</v>
      </c>
      <c r="L62" s="494">
        <v>79.081999999999994</v>
      </c>
      <c r="M62" s="494">
        <v>83.298000000000002</v>
      </c>
      <c r="N62" s="494">
        <v>84.58</v>
      </c>
      <c r="O62" s="494">
        <v>88.379000000000005</v>
      </c>
      <c r="P62" s="494">
        <v>91.951999999999998</v>
      </c>
      <c r="Q62" s="494">
        <v>96.403999999999996</v>
      </c>
      <c r="R62" s="494">
        <v>99.606999999999999</v>
      </c>
    </row>
    <row r="63" spans="2:18" ht="15.75" x14ac:dyDescent="0.25">
      <c r="B63" s="493">
        <v>61</v>
      </c>
      <c r="C63" s="494">
        <v>80.231999999999999</v>
      </c>
      <c r="D63" s="494">
        <v>89.590999999999994</v>
      </c>
      <c r="E63" s="494">
        <v>100.88800000000001</v>
      </c>
      <c r="F63" s="145"/>
      <c r="G63" s="493">
        <v>61</v>
      </c>
      <c r="H63" s="494">
        <v>36.301000000000002</v>
      </c>
      <c r="I63" s="494">
        <v>41.302999999999997</v>
      </c>
      <c r="J63" s="494">
        <v>70.049000000000007</v>
      </c>
      <c r="K63" s="494">
        <v>75.513999999999996</v>
      </c>
      <c r="L63" s="494">
        <v>80.231999999999999</v>
      </c>
      <c r="M63" s="494">
        <v>84.475999999999999</v>
      </c>
      <c r="N63" s="494">
        <v>85.766999999999996</v>
      </c>
      <c r="O63" s="494">
        <v>89.590999999999994</v>
      </c>
      <c r="P63" s="494">
        <v>93.186000000000007</v>
      </c>
      <c r="Q63" s="494">
        <v>97.665000000000006</v>
      </c>
      <c r="R63" s="494">
        <v>100.88800000000001</v>
      </c>
    </row>
    <row r="64" spans="2:18" ht="15.75" x14ac:dyDescent="0.25">
      <c r="B64" s="493">
        <v>62</v>
      </c>
      <c r="C64" s="494">
        <v>81.381</v>
      </c>
      <c r="D64" s="494">
        <v>90.802000000000007</v>
      </c>
      <c r="E64" s="494">
        <v>102.166</v>
      </c>
      <c r="F64" s="145"/>
      <c r="G64" s="493">
        <v>62</v>
      </c>
      <c r="H64" s="494">
        <v>37.067999999999998</v>
      </c>
      <c r="I64" s="494">
        <v>42.125999999999998</v>
      </c>
      <c r="J64" s="494">
        <v>71.125</v>
      </c>
      <c r="K64" s="494">
        <v>76.63</v>
      </c>
      <c r="L64" s="494">
        <v>81.381</v>
      </c>
      <c r="M64" s="494">
        <v>85.653999999999996</v>
      </c>
      <c r="N64" s="494">
        <v>86.953000000000003</v>
      </c>
      <c r="O64" s="494">
        <v>90.802000000000007</v>
      </c>
      <c r="P64" s="494">
        <v>94.418999999999997</v>
      </c>
      <c r="Q64" s="494">
        <v>98.924999999999997</v>
      </c>
      <c r="R64" s="494">
        <v>102.166</v>
      </c>
    </row>
    <row r="65" spans="2:18" ht="15.75" x14ac:dyDescent="0.25">
      <c r="B65" s="493">
        <v>63</v>
      </c>
      <c r="C65" s="494">
        <v>82.528999999999996</v>
      </c>
      <c r="D65" s="494">
        <v>92.01</v>
      </c>
      <c r="E65" s="494">
        <v>103.44199999999999</v>
      </c>
      <c r="F65" s="145"/>
      <c r="G65" s="493">
        <v>63</v>
      </c>
      <c r="H65" s="494">
        <v>37.838000000000001</v>
      </c>
      <c r="I65" s="494">
        <v>42.95</v>
      </c>
      <c r="J65" s="494">
        <v>72.200999999999993</v>
      </c>
      <c r="K65" s="494">
        <v>77.745000000000005</v>
      </c>
      <c r="L65" s="494">
        <v>82.528999999999996</v>
      </c>
      <c r="M65" s="494">
        <v>86.83</v>
      </c>
      <c r="N65" s="494">
        <v>88.137</v>
      </c>
      <c r="O65" s="494">
        <v>92.01</v>
      </c>
      <c r="P65" s="494">
        <v>95.649000000000001</v>
      </c>
      <c r="Q65" s="494">
        <v>100.182</v>
      </c>
      <c r="R65" s="494">
        <v>103.44199999999999</v>
      </c>
    </row>
    <row r="66" spans="2:18" ht="15.75" x14ac:dyDescent="0.25">
      <c r="B66" s="493">
        <v>64</v>
      </c>
      <c r="C66" s="494">
        <v>83.674999999999997</v>
      </c>
      <c r="D66" s="494">
        <v>93.216999999999999</v>
      </c>
      <c r="E66" s="494">
        <v>104.71599999999999</v>
      </c>
      <c r="F66" s="145"/>
      <c r="G66" s="493">
        <v>64</v>
      </c>
      <c r="H66" s="494">
        <v>38.61</v>
      </c>
      <c r="I66" s="494">
        <v>43.776000000000003</v>
      </c>
      <c r="J66" s="494">
        <v>73.275999999999996</v>
      </c>
      <c r="K66" s="494">
        <v>78.86</v>
      </c>
      <c r="L66" s="494">
        <v>83.674999999999997</v>
      </c>
      <c r="M66" s="494">
        <v>88.004000000000005</v>
      </c>
      <c r="N66" s="494">
        <v>89.32</v>
      </c>
      <c r="O66" s="494">
        <v>93.216999999999999</v>
      </c>
      <c r="P66" s="494">
        <v>96.878</v>
      </c>
      <c r="Q66" s="494">
        <v>101.437</v>
      </c>
      <c r="R66" s="494">
        <v>104.71599999999999</v>
      </c>
    </row>
    <row r="67" spans="2:18" ht="15.75" x14ac:dyDescent="0.25">
      <c r="B67" s="493">
        <v>65</v>
      </c>
      <c r="C67" s="494">
        <v>84.820999999999998</v>
      </c>
      <c r="D67" s="494">
        <v>94.421999999999997</v>
      </c>
      <c r="E67" s="494">
        <v>105.988</v>
      </c>
      <c r="F67" s="145"/>
      <c r="G67" s="493">
        <v>65</v>
      </c>
      <c r="H67" s="494">
        <v>39.383000000000003</v>
      </c>
      <c r="I67" s="494">
        <v>44.603000000000002</v>
      </c>
      <c r="J67" s="494">
        <v>74.350999999999999</v>
      </c>
      <c r="K67" s="494">
        <v>79.972999999999999</v>
      </c>
      <c r="L67" s="494">
        <v>84.820999999999998</v>
      </c>
      <c r="M67" s="494">
        <v>89.177000000000007</v>
      </c>
      <c r="N67" s="494">
        <v>90.501000000000005</v>
      </c>
      <c r="O67" s="494">
        <v>94.421999999999997</v>
      </c>
      <c r="P67" s="494">
        <v>98.105000000000004</v>
      </c>
      <c r="Q67" s="494">
        <v>102.691</v>
      </c>
      <c r="R67" s="494">
        <v>105.988</v>
      </c>
    </row>
    <row r="68" spans="2:18" ht="15.75" x14ac:dyDescent="0.25">
      <c r="B68" s="493">
        <v>66</v>
      </c>
      <c r="C68" s="494">
        <v>85.965000000000003</v>
      </c>
      <c r="D68" s="494">
        <v>95.626000000000005</v>
      </c>
      <c r="E68" s="494">
        <v>107.258</v>
      </c>
      <c r="F68" s="145"/>
      <c r="G68" s="493">
        <v>66</v>
      </c>
      <c r="H68" s="494">
        <v>40.158000000000001</v>
      </c>
      <c r="I68" s="494">
        <v>45.430999999999997</v>
      </c>
      <c r="J68" s="494">
        <v>75.424000000000007</v>
      </c>
      <c r="K68" s="494">
        <v>81.084999999999994</v>
      </c>
      <c r="L68" s="494">
        <v>85.965000000000003</v>
      </c>
      <c r="M68" s="494">
        <v>90.349000000000004</v>
      </c>
      <c r="N68" s="494">
        <v>91.680999999999997</v>
      </c>
      <c r="O68" s="494">
        <v>95.626000000000005</v>
      </c>
      <c r="P68" s="494">
        <v>99.33</v>
      </c>
      <c r="Q68" s="494">
        <v>103.94199999999999</v>
      </c>
      <c r="R68" s="494">
        <v>107.258</v>
      </c>
    </row>
    <row r="69" spans="2:18" ht="15.75" x14ac:dyDescent="0.25">
      <c r="B69" s="493">
        <v>67</v>
      </c>
      <c r="C69" s="494">
        <v>87.108000000000004</v>
      </c>
      <c r="D69" s="494">
        <v>96.828000000000003</v>
      </c>
      <c r="E69" s="494">
        <v>108.526</v>
      </c>
      <c r="F69" s="145"/>
      <c r="G69" s="493">
        <v>67</v>
      </c>
      <c r="H69" s="494">
        <v>40.935000000000002</v>
      </c>
      <c r="I69" s="494">
        <v>46.261000000000003</v>
      </c>
      <c r="J69" s="494">
        <v>76.498000000000005</v>
      </c>
      <c r="K69" s="494">
        <v>82.197000000000003</v>
      </c>
      <c r="L69" s="494">
        <v>87.108000000000004</v>
      </c>
      <c r="M69" s="494">
        <v>91.519000000000005</v>
      </c>
      <c r="N69" s="494">
        <v>92.86</v>
      </c>
      <c r="O69" s="494">
        <v>96.828000000000003</v>
      </c>
      <c r="P69" s="494">
        <v>100.554</v>
      </c>
      <c r="Q69" s="494">
        <v>105.19199999999999</v>
      </c>
      <c r="R69" s="494">
        <v>108.526</v>
      </c>
    </row>
    <row r="70" spans="2:18" ht="15.75" x14ac:dyDescent="0.25">
      <c r="B70" s="493">
        <v>68</v>
      </c>
      <c r="C70" s="494">
        <v>88.25</v>
      </c>
      <c r="D70" s="494">
        <v>98.028000000000006</v>
      </c>
      <c r="E70" s="494">
        <v>109.791</v>
      </c>
      <c r="F70" s="145"/>
      <c r="G70" s="493">
        <v>68</v>
      </c>
      <c r="H70" s="494">
        <v>41.713000000000001</v>
      </c>
      <c r="I70" s="494">
        <v>47.091999999999999</v>
      </c>
      <c r="J70" s="494">
        <v>77.570999999999998</v>
      </c>
      <c r="K70" s="494">
        <v>83.308000000000007</v>
      </c>
      <c r="L70" s="494">
        <v>88.25</v>
      </c>
      <c r="M70" s="494">
        <v>92.688999999999993</v>
      </c>
      <c r="N70" s="494">
        <v>94.037000000000006</v>
      </c>
      <c r="O70" s="494">
        <v>98.028000000000006</v>
      </c>
      <c r="P70" s="494">
        <v>101.776</v>
      </c>
      <c r="Q70" s="494">
        <v>106.44</v>
      </c>
      <c r="R70" s="494">
        <v>109.791</v>
      </c>
    </row>
    <row r="71" spans="2:18" ht="15.75" x14ac:dyDescent="0.25">
      <c r="B71" s="493">
        <v>69</v>
      </c>
      <c r="C71" s="494">
        <v>89.391000000000005</v>
      </c>
      <c r="D71" s="494">
        <v>99.227999999999994</v>
      </c>
      <c r="E71" s="494">
        <v>111.05500000000001</v>
      </c>
      <c r="F71" s="145"/>
      <c r="G71" s="493">
        <v>69</v>
      </c>
      <c r="H71" s="494">
        <v>42.494</v>
      </c>
      <c r="I71" s="494">
        <v>47.923999999999999</v>
      </c>
      <c r="J71" s="494">
        <v>78.643000000000001</v>
      </c>
      <c r="K71" s="494">
        <v>84.418000000000006</v>
      </c>
      <c r="L71" s="494">
        <v>89.391000000000005</v>
      </c>
      <c r="M71" s="494">
        <v>93.855999999999995</v>
      </c>
      <c r="N71" s="494">
        <v>95.212999999999994</v>
      </c>
      <c r="O71" s="494">
        <v>99.227999999999994</v>
      </c>
      <c r="P71" s="494">
        <v>102.996</v>
      </c>
      <c r="Q71" s="494">
        <v>107.685</v>
      </c>
      <c r="R71" s="494">
        <v>111.05500000000001</v>
      </c>
    </row>
    <row r="72" spans="2:18" ht="15.75" x14ac:dyDescent="0.25">
      <c r="B72" s="493">
        <v>70</v>
      </c>
      <c r="C72" s="494">
        <v>90.531000000000006</v>
      </c>
      <c r="D72" s="494">
        <v>100.425</v>
      </c>
      <c r="E72" s="494">
        <v>112.31699999999999</v>
      </c>
      <c r="F72" s="145"/>
      <c r="G72" s="493">
        <v>70</v>
      </c>
      <c r="H72" s="494">
        <v>43.274999999999999</v>
      </c>
      <c r="I72" s="494">
        <v>48.758000000000003</v>
      </c>
      <c r="J72" s="494">
        <v>79.715000000000003</v>
      </c>
      <c r="K72" s="494">
        <v>85.527000000000001</v>
      </c>
      <c r="L72" s="494">
        <v>90.531000000000006</v>
      </c>
      <c r="M72" s="494">
        <v>95.022999999999996</v>
      </c>
      <c r="N72" s="494">
        <v>96.388000000000005</v>
      </c>
      <c r="O72" s="494">
        <v>100.425</v>
      </c>
      <c r="P72" s="494">
        <v>104.215</v>
      </c>
      <c r="Q72" s="494">
        <v>108.929</v>
      </c>
      <c r="R72" s="494">
        <v>112.31699999999999</v>
      </c>
    </row>
    <row r="73" spans="2:18" ht="15.75" x14ac:dyDescent="0.25">
      <c r="B73" s="493">
        <v>71</v>
      </c>
      <c r="C73" s="494">
        <v>91.67</v>
      </c>
      <c r="D73" s="494">
        <v>101.621</v>
      </c>
      <c r="E73" s="494">
        <v>113.577</v>
      </c>
      <c r="F73" s="145"/>
      <c r="G73" s="493">
        <v>71</v>
      </c>
      <c r="H73" s="494">
        <v>44.058</v>
      </c>
      <c r="I73" s="494">
        <v>49.591999999999999</v>
      </c>
      <c r="J73" s="494">
        <v>80.786000000000001</v>
      </c>
      <c r="K73" s="494">
        <v>86.635000000000005</v>
      </c>
      <c r="L73" s="494">
        <v>91.67</v>
      </c>
      <c r="M73" s="494">
        <v>96.188999999999993</v>
      </c>
      <c r="N73" s="494">
        <v>97.561000000000007</v>
      </c>
      <c r="O73" s="494">
        <v>101.621</v>
      </c>
      <c r="P73" s="494">
        <v>105.432</v>
      </c>
      <c r="Q73" s="494">
        <v>110.172</v>
      </c>
      <c r="R73" s="494">
        <v>113.577</v>
      </c>
    </row>
    <row r="74" spans="2:18" ht="15.75" x14ac:dyDescent="0.25">
      <c r="B74" s="493">
        <v>72</v>
      </c>
      <c r="C74" s="494">
        <v>92.808000000000007</v>
      </c>
      <c r="D74" s="494">
        <v>102.816</v>
      </c>
      <c r="E74" s="494">
        <v>114.83499999999999</v>
      </c>
      <c r="F74" s="145"/>
      <c r="G74" s="493">
        <v>72</v>
      </c>
      <c r="H74" s="494">
        <v>44.843000000000004</v>
      </c>
      <c r="I74" s="494">
        <v>50.427999999999997</v>
      </c>
      <c r="J74" s="494">
        <v>81.856999999999999</v>
      </c>
      <c r="K74" s="494">
        <v>87.742999999999995</v>
      </c>
      <c r="L74" s="494">
        <v>92.808000000000007</v>
      </c>
      <c r="M74" s="494">
        <v>97.352999999999994</v>
      </c>
      <c r="N74" s="494">
        <v>98.733000000000004</v>
      </c>
      <c r="O74" s="494">
        <v>102.816</v>
      </c>
      <c r="P74" s="494">
        <v>106.648</v>
      </c>
      <c r="Q74" s="494">
        <v>111.41200000000001</v>
      </c>
      <c r="R74" s="494">
        <v>114.83499999999999</v>
      </c>
    </row>
    <row r="75" spans="2:18" ht="15.75" x14ac:dyDescent="0.25">
      <c r="B75" s="493">
        <v>73</v>
      </c>
      <c r="C75" s="494">
        <v>93.944999999999993</v>
      </c>
      <c r="D75" s="494">
        <v>104.01</v>
      </c>
      <c r="E75" s="494">
        <v>116.092</v>
      </c>
      <c r="F75" s="145"/>
      <c r="G75" s="493">
        <v>73</v>
      </c>
      <c r="H75" s="494">
        <v>45.628999999999998</v>
      </c>
      <c r="I75" s="494">
        <v>51.265000000000001</v>
      </c>
      <c r="J75" s="494">
        <v>82.927000000000007</v>
      </c>
      <c r="K75" s="494">
        <v>88.85</v>
      </c>
      <c r="L75" s="494">
        <v>93.944999999999993</v>
      </c>
      <c r="M75" s="494">
        <v>98.516000000000005</v>
      </c>
      <c r="N75" s="494">
        <v>99.903999999999996</v>
      </c>
      <c r="O75" s="494">
        <v>104.01</v>
      </c>
      <c r="P75" s="494">
        <v>107.86199999999999</v>
      </c>
      <c r="Q75" s="494">
        <v>112.651</v>
      </c>
      <c r="R75" s="494">
        <v>116.092</v>
      </c>
    </row>
    <row r="76" spans="2:18" ht="15.75" x14ac:dyDescent="0.25">
      <c r="B76" s="493">
        <v>74</v>
      </c>
      <c r="C76" s="494">
        <v>95.081000000000003</v>
      </c>
      <c r="D76" s="494">
        <v>105.202</v>
      </c>
      <c r="E76" s="494">
        <v>117.346</v>
      </c>
      <c r="F76" s="145"/>
      <c r="G76" s="493">
        <v>74</v>
      </c>
      <c r="H76" s="494">
        <v>46.417000000000002</v>
      </c>
      <c r="I76" s="494">
        <v>52.103000000000002</v>
      </c>
      <c r="J76" s="494">
        <v>83.997</v>
      </c>
      <c r="K76" s="494">
        <v>89.956000000000003</v>
      </c>
      <c r="L76" s="494">
        <v>95.081000000000003</v>
      </c>
      <c r="M76" s="494">
        <v>99.677999999999997</v>
      </c>
      <c r="N76" s="494">
        <v>101.074</v>
      </c>
      <c r="O76" s="494">
        <v>105.202</v>
      </c>
      <c r="P76" s="494">
        <v>109.074</v>
      </c>
      <c r="Q76" s="494">
        <v>113.889</v>
      </c>
      <c r="R76" s="494">
        <v>117.346</v>
      </c>
    </row>
    <row r="77" spans="2:18" ht="15.75" x14ac:dyDescent="0.25">
      <c r="B77" s="493">
        <v>75</v>
      </c>
      <c r="C77" s="494">
        <v>96.216999999999999</v>
      </c>
      <c r="D77" s="494">
        <v>106.393</v>
      </c>
      <c r="E77" s="494">
        <v>118.599</v>
      </c>
      <c r="F77" s="145"/>
      <c r="G77" s="493">
        <v>75</v>
      </c>
      <c r="H77" s="494">
        <v>47.206000000000003</v>
      </c>
      <c r="I77" s="494">
        <v>52.942</v>
      </c>
      <c r="J77" s="494">
        <v>85.066000000000003</v>
      </c>
      <c r="K77" s="494">
        <v>91.061000000000007</v>
      </c>
      <c r="L77" s="494">
        <v>96.216999999999999</v>
      </c>
      <c r="M77" s="494">
        <v>100.839</v>
      </c>
      <c r="N77" s="494">
        <v>102.24299999999999</v>
      </c>
      <c r="O77" s="494">
        <v>106.393</v>
      </c>
      <c r="P77" s="494">
        <v>110.286</v>
      </c>
      <c r="Q77" s="494">
        <v>115.125</v>
      </c>
      <c r="R77" s="494">
        <v>118.599</v>
      </c>
    </row>
    <row r="78" spans="2:18" ht="15.75" x14ac:dyDescent="0.25">
      <c r="B78" s="493">
        <v>76</v>
      </c>
      <c r="C78" s="494">
        <v>97.350999999999999</v>
      </c>
      <c r="D78" s="494">
        <v>107.583</v>
      </c>
      <c r="E78" s="494">
        <v>119.85</v>
      </c>
      <c r="F78" s="145"/>
      <c r="G78" s="493">
        <v>76</v>
      </c>
      <c r="H78" s="494">
        <v>47.997</v>
      </c>
      <c r="I78" s="494">
        <v>53.781999999999996</v>
      </c>
      <c r="J78" s="494">
        <v>86.135000000000005</v>
      </c>
      <c r="K78" s="494">
        <v>92.165999999999997</v>
      </c>
      <c r="L78" s="494">
        <v>97.350999999999999</v>
      </c>
      <c r="M78" s="494">
        <v>101.999</v>
      </c>
      <c r="N78" s="494">
        <v>103.41</v>
      </c>
      <c r="O78" s="494">
        <v>107.583</v>
      </c>
      <c r="P78" s="494">
        <v>111.495</v>
      </c>
      <c r="Q78" s="494">
        <v>116.35899999999999</v>
      </c>
      <c r="R78" s="494">
        <v>119.85</v>
      </c>
    </row>
    <row r="79" spans="2:18" ht="15.75" x14ac:dyDescent="0.25">
      <c r="B79" s="493">
        <v>77</v>
      </c>
      <c r="C79" s="494">
        <v>98.483999999999995</v>
      </c>
      <c r="D79" s="494">
        <v>108.771</v>
      </c>
      <c r="E79" s="494">
        <v>121.1</v>
      </c>
      <c r="F79" s="145"/>
      <c r="G79" s="493">
        <v>77</v>
      </c>
      <c r="H79" s="494">
        <v>48.787999999999997</v>
      </c>
      <c r="I79" s="494">
        <v>54.622999999999998</v>
      </c>
      <c r="J79" s="494">
        <v>87.203000000000003</v>
      </c>
      <c r="K79" s="494">
        <v>93.27</v>
      </c>
      <c r="L79" s="494">
        <v>98.483999999999995</v>
      </c>
      <c r="M79" s="494">
        <v>103.158</v>
      </c>
      <c r="N79" s="494">
        <v>104.57599999999999</v>
      </c>
      <c r="O79" s="494">
        <v>108.771</v>
      </c>
      <c r="P79" s="494">
        <v>112.70399999999999</v>
      </c>
      <c r="Q79" s="494">
        <v>117.59099999999999</v>
      </c>
      <c r="R79" s="494">
        <v>121.1</v>
      </c>
    </row>
    <row r="80" spans="2:18" ht="15.75" x14ac:dyDescent="0.25">
      <c r="B80" s="493">
        <v>78</v>
      </c>
      <c r="C80" s="494">
        <v>99.617000000000004</v>
      </c>
      <c r="D80" s="494">
        <v>109.958</v>
      </c>
      <c r="E80" s="494">
        <v>122.348</v>
      </c>
      <c r="F80" s="145"/>
      <c r="G80" s="493">
        <v>78</v>
      </c>
      <c r="H80" s="494">
        <v>49.582000000000001</v>
      </c>
      <c r="I80" s="494">
        <v>55.466000000000001</v>
      </c>
      <c r="J80" s="494">
        <v>88.271000000000001</v>
      </c>
      <c r="K80" s="494">
        <v>94.373999999999995</v>
      </c>
      <c r="L80" s="494">
        <v>99.617000000000004</v>
      </c>
      <c r="M80" s="494">
        <v>104.316</v>
      </c>
      <c r="N80" s="494">
        <v>105.742</v>
      </c>
      <c r="O80" s="494">
        <v>109.958</v>
      </c>
      <c r="P80" s="494">
        <v>113.911</v>
      </c>
      <c r="Q80" s="494">
        <v>118.82299999999999</v>
      </c>
      <c r="R80" s="494">
        <v>122.348</v>
      </c>
    </row>
    <row r="81" spans="2:18" ht="15.75" x14ac:dyDescent="0.25">
      <c r="B81" s="493">
        <v>79</v>
      </c>
      <c r="C81" s="494">
        <v>100.749</v>
      </c>
      <c r="D81" s="494">
        <v>111.14400000000001</v>
      </c>
      <c r="E81" s="494">
        <v>123.59399999999999</v>
      </c>
      <c r="F81" s="145"/>
      <c r="G81" s="493">
        <v>79</v>
      </c>
      <c r="H81" s="494">
        <v>50.375999999999998</v>
      </c>
      <c r="I81" s="494">
        <v>56.308999999999997</v>
      </c>
      <c r="J81" s="494">
        <v>89.337999999999994</v>
      </c>
      <c r="K81" s="494">
        <v>95.475999999999999</v>
      </c>
      <c r="L81" s="494">
        <v>100.749</v>
      </c>
      <c r="M81" s="494">
        <v>105.473</v>
      </c>
      <c r="N81" s="494">
        <v>106.90600000000001</v>
      </c>
      <c r="O81" s="494">
        <v>111.14400000000001</v>
      </c>
      <c r="P81" s="494">
        <v>115.117</v>
      </c>
      <c r="Q81" s="494">
        <v>120.05200000000001</v>
      </c>
      <c r="R81" s="494">
        <v>123.59399999999999</v>
      </c>
    </row>
    <row r="82" spans="2:18" ht="15.75" x14ac:dyDescent="0.25">
      <c r="B82" s="493">
        <v>80</v>
      </c>
      <c r="C82" s="494">
        <v>101.879</v>
      </c>
      <c r="D82" s="494">
        <v>112.32899999999999</v>
      </c>
      <c r="E82" s="494">
        <v>124.839</v>
      </c>
      <c r="F82" s="145"/>
      <c r="G82" s="493">
        <v>80</v>
      </c>
      <c r="H82" s="494">
        <v>51.171999999999997</v>
      </c>
      <c r="I82" s="494">
        <v>57.152999999999999</v>
      </c>
      <c r="J82" s="494">
        <v>90.405000000000001</v>
      </c>
      <c r="K82" s="494">
        <v>96.578000000000003</v>
      </c>
      <c r="L82" s="494">
        <v>101.879</v>
      </c>
      <c r="M82" s="494">
        <v>106.629</v>
      </c>
      <c r="N82" s="494">
        <v>108.069</v>
      </c>
      <c r="O82" s="494">
        <v>112.32899999999999</v>
      </c>
      <c r="P82" s="494">
        <v>116.321</v>
      </c>
      <c r="Q82" s="494">
        <v>121.28</v>
      </c>
      <c r="R82" s="494">
        <v>124.839</v>
      </c>
    </row>
    <row r="83" spans="2:18" ht="15.75" x14ac:dyDescent="0.25">
      <c r="B83" s="493">
        <v>81</v>
      </c>
      <c r="C83" s="494">
        <v>103.01</v>
      </c>
      <c r="D83" s="494">
        <v>113.512</v>
      </c>
      <c r="E83" s="494">
        <v>126.083</v>
      </c>
      <c r="F83" s="145"/>
      <c r="G83" s="493">
        <v>81</v>
      </c>
      <c r="H83" s="494">
        <v>51.969000000000001</v>
      </c>
      <c r="I83" s="494">
        <v>57.997999999999998</v>
      </c>
      <c r="J83" s="494">
        <v>91.471999999999994</v>
      </c>
      <c r="K83" s="494">
        <v>97.68</v>
      </c>
      <c r="L83" s="494">
        <v>103.01</v>
      </c>
      <c r="M83" s="494">
        <v>107.783</v>
      </c>
      <c r="N83" s="494">
        <v>109.232</v>
      </c>
      <c r="O83" s="494">
        <v>113.512</v>
      </c>
      <c r="P83" s="494">
        <v>117.524</v>
      </c>
      <c r="Q83" s="494">
        <v>122.50700000000001</v>
      </c>
      <c r="R83" s="494">
        <v>126.083</v>
      </c>
    </row>
    <row r="84" spans="2:18" ht="15.75" x14ac:dyDescent="0.25">
      <c r="B84" s="493">
        <v>82</v>
      </c>
      <c r="C84" s="494">
        <v>104.139</v>
      </c>
      <c r="D84" s="494">
        <v>114.69499999999999</v>
      </c>
      <c r="E84" s="494">
        <v>127.324</v>
      </c>
      <c r="F84" s="145"/>
      <c r="G84" s="493">
        <v>82</v>
      </c>
      <c r="H84" s="494">
        <v>52.767000000000003</v>
      </c>
      <c r="I84" s="494">
        <v>58.844999999999999</v>
      </c>
      <c r="J84" s="494">
        <v>92.537999999999997</v>
      </c>
      <c r="K84" s="494">
        <v>98.78</v>
      </c>
      <c r="L84" s="494">
        <v>104.139</v>
      </c>
      <c r="M84" s="494">
        <v>108.937</v>
      </c>
      <c r="N84" s="494">
        <v>110.393</v>
      </c>
      <c r="O84" s="494">
        <v>114.69499999999999</v>
      </c>
      <c r="P84" s="494">
        <v>118.726</v>
      </c>
      <c r="Q84" s="494">
        <v>123.733</v>
      </c>
      <c r="R84" s="494">
        <v>127.324</v>
      </c>
    </row>
    <row r="85" spans="2:18" ht="15.75" x14ac:dyDescent="0.25">
      <c r="B85" s="493">
        <v>83</v>
      </c>
      <c r="C85" s="494">
        <v>105.267</v>
      </c>
      <c r="D85" s="494">
        <v>115.876</v>
      </c>
      <c r="E85" s="494">
        <v>128.565</v>
      </c>
      <c r="F85" s="145"/>
      <c r="G85" s="493">
        <v>83</v>
      </c>
      <c r="H85" s="494">
        <v>53.567</v>
      </c>
      <c r="I85" s="494">
        <v>59.692</v>
      </c>
      <c r="J85" s="494">
        <v>93.603999999999999</v>
      </c>
      <c r="K85" s="494">
        <v>99.88</v>
      </c>
      <c r="L85" s="494">
        <v>105.267</v>
      </c>
      <c r="M85" s="494">
        <v>110.09</v>
      </c>
      <c r="N85" s="494">
        <v>111.553</v>
      </c>
      <c r="O85" s="494">
        <v>115.876</v>
      </c>
      <c r="P85" s="494">
        <v>119.92700000000001</v>
      </c>
      <c r="Q85" s="494">
        <v>124.95699999999999</v>
      </c>
      <c r="R85" s="494">
        <v>128.565</v>
      </c>
    </row>
    <row r="86" spans="2:18" ht="15.75" x14ac:dyDescent="0.25">
      <c r="B86" s="493">
        <v>84</v>
      </c>
      <c r="C86" s="494">
        <v>106.395</v>
      </c>
      <c r="D86" s="494">
        <v>117.057</v>
      </c>
      <c r="E86" s="494">
        <v>129.804</v>
      </c>
      <c r="F86" s="145"/>
      <c r="G86" s="493">
        <v>84</v>
      </c>
      <c r="H86" s="494">
        <v>54.368000000000002</v>
      </c>
      <c r="I86" s="494">
        <v>60.54</v>
      </c>
      <c r="J86" s="494">
        <v>94.668999999999997</v>
      </c>
      <c r="K86" s="494">
        <v>100.98</v>
      </c>
      <c r="L86" s="494">
        <v>106.395</v>
      </c>
      <c r="M86" s="494">
        <v>111.242</v>
      </c>
      <c r="N86" s="494">
        <v>112.712</v>
      </c>
      <c r="O86" s="494">
        <v>117.057</v>
      </c>
      <c r="P86" s="494">
        <v>121.126</v>
      </c>
      <c r="Q86" s="494">
        <v>126.179</v>
      </c>
      <c r="R86" s="494">
        <v>129.804</v>
      </c>
    </row>
    <row r="87" spans="2:18" ht="15.75" x14ac:dyDescent="0.25">
      <c r="B87" s="493">
        <v>85</v>
      </c>
      <c r="C87" s="494">
        <v>107.52200000000001</v>
      </c>
      <c r="D87" s="494">
        <v>118.236</v>
      </c>
      <c r="E87" s="494">
        <v>131.041</v>
      </c>
      <c r="F87" s="145"/>
      <c r="G87" s="493">
        <v>85</v>
      </c>
      <c r="H87" s="494">
        <v>55.17</v>
      </c>
      <c r="I87" s="494">
        <v>61.389000000000003</v>
      </c>
      <c r="J87" s="494">
        <v>95.733999999999995</v>
      </c>
      <c r="K87" s="494">
        <v>102.07899999999999</v>
      </c>
      <c r="L87" s="494">
        <v>107.52200000000001</v>
      </c>
      <c r="M87" s="494">
        <v>112.393</v>
      </c>
      <c r="N87" s="494">
        <v>113.871</v>
      </c>
      <c r="O87" s="494">
        <v>118.236</v>
      </c>
      <c r="P87" s="494">
        <v>122.325</v>
      </c>
      <c r="Q87" s="494">
        <v>127.401</v>
      </c>
      <c r="R87" s="494">
        <v>131.041</v>
      </c>
    </row>
    <row r="88" spans="2:18" ht="15.75" x14ac:dyDescent="0.25">
      <c r="B88" s="493">
        <v>86</v>
      </c>
      <c r="C88" s="494">
        <v>108.648</v>
      </c>
      <c r="D88" s="494">
        <v>119.414</v>
      </c>
      <c r="E88" s="494">
        <v>132.27699999999999</v>
      </c>
      <c r="F88" s="145"/>
      <c r="G88" s="493">
        <v>86</v>
      </c>
      <c r="H88" s="494">
        <v>55.972999999999999</v>
      </c>
      <c r="I88" s="494">
        <v>62.238999999999997</v>
      </c>
      <c r="J88" s="494">
        <v>96.799000000000007</v>
      </c>
      <c r="K88" s="494">
        <v>103.17700000000001</v>
      </c>
      <c r="L88" s="494">
        <v>108.648</v>
      </c>
      <c r="M88" s="494">
        <v>113.544</v>
      </c>
      <c r="N88" s="494">
        <v>115.02800000000001</v>
      </c>
      <c r="O88" s="494">
        <v>119.414</v>
      </c>
      <c r="P88" s="494">
        <v>123.52200000000001</v>
      </c>
      <c r="Q88" s="494">
        <v>128.62100000000001</v>
      </c>
      <c r="R88" s="494">
        <v>132.27699999999999</v>
      </c>
    </row>
    <row r="89" spans="2:18" ht="15.75" x14ac:dyDescent="0.25">
      <c r="B89" s="493">
        <v>87</v>
      </c>
      <c r="C89" s="494">
        <v>109.773</v>
      </c>
      <c r="D89" s="494">
        <v>120.59099999999999</v>
      </c>
      <c r="E89" s="494">
        <v>133.512</v>
      </c>
      <c r="F89" s="145"/>
      <c r="G89" s="493">
        <v>87</v>
      </c>
      <c r="H89" s="494">
        <v>56.777000000000001</v>
      </c>
      <c r="I89" s="494">
        <v>63.088999999999999</v>
      </c>
      <c r="J89" s="494">
        <v>97.863</v>
      </c>
      <c r="K89" s="494">
        <v>104.27500000000001</v>
      </c>
      <c r="L89" s="494">
        <v>109.773</v>
      </c>
      <c r="M89" s="494">
        <v>114.693</v>
      </c>
      <c r="N89" s="494">
        <v>116.184</v>
      </c>
      <c r="O89" s="494">
        <v>120.59099999999999</v>
      </c>
      <c r="P89" s="494">
        <v>124.718</v>
      </c>
      <c r="Q89" s="494">
        <v>129.84</v>
      </c>
      <c r="R89" s="494">
        <v>133.512</v>
      </c>
    </row>
    <row r="90" spans="2:18" ht="15.75" x14ac:dyDescent="0.25">
      <c r="B90" s="493">
        <v>88</v>
      </c>
      <c r="C90" s="494">
        <v>110.898</v>
      </c>
      <c r="D90" s="494">
        <v>121.767</v>
      </c>
      <c r="E90" s="494">
        <v>134.745</v>
      </c>
      <c r="F90" s="145"/>
      <c r="G90" s="493">
        <v>88</v>
      </c>
      <c r="H90" s="494">
        <v>57.582000000000001</v>
      </c>
      <c r="I90" s="494">
        <v>63.941000000000003</v>
      </c>
      <c r="J90" s="494">
        <v>98.927000000000007</v>
      </c>
      <c r="K90" s="494">
        <v>105.372</v>
      </c>
      <c r="L90" s="494">
        <v>110.898</v>
      </c>
      <c r="M90" s="494">
        <v>115.84099999999999</v>
      </c>
      <c r="N90" s="494">
        <v>117.34</v>
      </c>
      <c r="O90" s="494">
        <v>121.767</v>
      </c>
      <c r="P90" s="494">
        <v>125.913</v>
      </c>
      <c r="Q90" s="494">
        <v>131.05699999999999</v>
      </c>
      <c r="R90" s="494">
        <v>134.745</v>
      </c>
    </row>
    <row r="91" spans="2:18" ht="15.75" x14ac:dyDescent="0.25">
      <c r="B91" s="493">
        <v>89</v>
      </c>
      <c r="C91" s="494">
        <v>112.02200000000001</v>
      </c>
      <c r="D91" s="494">
        <v>122.94199999999999</v>
      </c>
      <c r="E91" s="494">
        <v>135.97800000000001</v>
      </c>
      <c r="F91" s="145"/>
      <c r="G91" s="493">
        <v>89</v>
      </c>
      <c r="H91" s="494">
        <v>58.389000000000003</v>
      </c>
      <c r="I91" s="494">
        <v>64.793000000000006</v>
      </c>
      <c r="J91" s="494">
        <v>99.991</v>
      </c>
      <c r="K91" s="494">
        <v>106.46899999999999</v>
      </c>
      <c r="L91" s="494">
        <v>112.02200000000001</v>
      </c>
      <c r="M91" s="494">
        <v>116.989</v>
      </c>
      <c r="N91" s="494">
        <v>118.495</v>
      </c>
      <c r="O91" s="494">
        <v>122.94199999999999</v>
      </c>
      <c r="P91" s="494">
        <v>127.10599999999999</v>
      </c>
      <c r="Q91" s="494">
        <v>132.273</v>
      </c>
      <c r="R91" s="494">
        <v>135.97800000000001</v>
      </c>
    </row>
    <row r="92" spans="2:18" ht="15.75" x14ac:dyDescent="0.25">
      <c r="B92" s="493">
        <v>90</v>
      </c>
      <c r="C92" s="494">
        <v>113.145</v>
      </c>
      <c r="D92" s="494">
        <v>124.116</v>
      </c>
      <c r="E92" s="494">
        <v>137.208</v>
      </c>
      <c r="F92" s="145"/>
      <c r="G92" s="493">
        <v>90</v>
      </c>
      <c r="H92" s="494">
        <v>59.195999999999998</v>
      </c>
      <c r="I92" s="494">
        <v>65.647000000000006</v>
      </c>
      <c r="J92" s="494">
        <v>101.054</v>
      </c>
      <c r="K92" s="494">
        <v>107.565</v>
      </c>
      <c r="L92" s="494">
        <v>113.145</v>
      </c>
      <c r="M92" s="494">
        <v>118.136</v>
      </c>
      <c r="N92" s="494">
        <v>119.648</v>
      </c>
      <c r="O92" s="494">
        <v>124.116</v>
      </c>
      <c r="P92" s="494">
        <v>128.29900000000001</v>
      </c>
      <c r="Q92" s="494">
        <v>133.489</v>
      </c>
      <c r="R92" s="494">
        <v>137.208</v>
      </c>
    </row>
    <row r="93" spans="2:18" ht="15.75" x14ac:dyDescent="0.25">
      <c r="B93" s="493">
        <v>91</v>
      </c>
      <c r="C93" s="494">
        <v>114.268</v>
      </c>
      <c r="D93" s="494">
        <v>125.289</v>
      </c>
      <c r="E93" s="494">
        <v>138.43799999999999</v>
      </c>
      <c r="F93" s="145"/>
      <c r="G93" s="493">
        <v>91</v>
      </c>
      <c r="H93" s="494">
        <v>60.005000000000003</v>
      </c>
      <c r="I93" s="494">
        <v>66.501000000000005</v>
      </c>
      <c r="J93" s="494">
        <v>102.117</v>
      </c>
      <c r="K93" s="494">
        <v>108.661</v>
      </c>
      <c r="L93" s="494">
        <v>114.268</v>
      </c>
      <c r="M93" s="494">
        <v>119.282</v>
      </c>
      <c r="N93" s="494">
        <v>120.801</v>
      </c>
      <c r="O93" s="494">
        <v>125.289</v>
      </c>
      <c r="P93" s="494">
        <v>129.49100000000001</v>
      </c>
      <c r="Q93" s="494">
        <v>134.702</v>
      </c>
      <c r="R93" s="494">
        <v>138.43799999999999</v>
      </c>
    </row>
    <row r="94" spans="2:18" ht="15.75" x14ac:dyDescent="0.25">
      <c r="B94" s="493">
        <v>92</v>
      </c>
      <c r="C94" s="494">
        <v>115.39</v>
      </c>
      <c r="D94" s="494">
        <v>126.462</v>
      </c>
      <c r="E94" s="494">
        <v>139.666</v>
      </c>
      <c r="F94" s="145"/>
      <c r="G94" s="493">
        <v>92</v>
      </c>
      <c r="H94" s="494">
        <v>60.814999999999998</v>
      </c>
      <c r="I94" s="494">
        <v>67.355999999999995</v>
      </c>
      <c r="J94" s="494">
        <v>103.179</v>
      </c>
      <c r="K94" s="494">
        <v>109.756</v>
      </c>
      <c r="L94" s="494">
        <v>115.39</v>
      </c>
      <c r="M94" s="494">
        <v>120.42700000000001</v>
      </c>
      <c r="N94" s="494">
        <v>121.95399999999999</v>
      </c>
      <c r="O94" s="494">
        <v>126.462</v>
      </c>
      <c r="P94" s="494">
        <v>130.68100000000001</v>
      </c>
      <c r="Q94" s="494">
        <v>135.91499999999999</v>
      </c>
      <c r="R94" s="494">
        <v>139.666</v>
      </c>
    </row>
    <row r="95" spans="2:18" ht="15.75" x14ac:dyDescent="0.25">
      <c r="B95" s="493">
        <v>93</v>
      </c>
      <c r="C95" s="494">
        <v>116.511</v>
      </c>
      <c r="D95" s="494">
        <v>127.633</v>
      </c>
      <c r="E95" s="494">
        <v>140.893</v>
      </c>
      <c r="F95" s="145"/>
      <c r="G95" s="493">
        <v>93</v>
      </c>
      <c r="H95" s="494">
        <v>61.625</v>
      </c>
      <c r="I95" s="494">
        <v>68.210999999999999</v>
      </c>
      <c r="J95" s="494">
        <v>104.241</v>
      </c>
      <c r="K95" s="494">
        <v>110.85</v>
      </c>
      <c r="L95" s="494">
        <v>116.511</v>
      </c>
      <c r="M95" s="494">
        <v>121.571</v>
      </c>
      <c r="N95" s="494">
        <v>123.105</v>
      </c>
      <c r="O95" s="494">
        <v>127.633</v>
      </c>
      <c r="P95" s="494">
        <v>131.87100000000001</v>
      </c>
      <c r="Q95" s="494">
        <v>137.12700000000001</v>
      </c>
      <c r="R95" s="494">
        <v>140.893</v>
      </c>
    </row>
    <row r="96" spans="2:18" ht="15.75" x14ac:dyDescent="0.25">
      <c r="B96" s="493">
        <v>94</v>
      </c>
      <c r="C96" s="494">
        <v>117.63200000000001</v>
      </c>
      <c r="D96" s="494">
        <v>128.803</v>
      </c>
      <c r="E96" s="494">
        <v>142.119</v>
      </c>
      <c r="F96" s="145"/>
      <c r="G96" s="493">
        <v>94</v>
      </c>
      <c r="H96" s="494">
        <v>62.436999999999998</v>
      </c>
      <c r="I96" s="494">
        <v>69.067999999999998</v>
      </c>
      <c r="J96" s="494">
        <v>105.303</v>
      </c>
      <c r="K96" s="494">
        <v>111.944</v>
      </c>
      <c r="L96" s="494">
        <v>117.63200000000001</v>
      </c>
      <c r="M96" s="494">
        <v>122.715</v>
      </c>
      <c r="N96" s="494">
        <v>124.255</v>
      </c>
      <c r="O96" s="494">
        <v>128.803</v>
      </c>
      <c r="P96" s="494">
        <v>133.059</v>
      </c>
      <c r="Q96" s="494">
        <v>138.33699999999999</v>
      </c>
      <c r="R96" s="494">
        <v>142.119</v>
      </c>
    </row>
    <row r="97" spans="2:18" ht="15.75" x14ac:dyDescent="0.25">
      <c r="B97" s="493">
        <v>95</v>
      </c>
      <c r="C97" s="494">
        <v>118.752</v>
      </c>
      <c r="D97" s="494">
        <v>129.97300000000001</v>
      </c>
      <c r="E97" s="494">
        <v>143.34399999999999</v>
      </c>
      <c r="F97" s="145"/>
      <c r="G97" s="493">
        <v>95</v>
      </c>
      <c r="H97" s="494">
        <v>63.25</v>
      </c>
      <c r="I97" s="494">
        <v>69.924999999999997</v>
      </c>
      <c r="J97" s="494">
        <v>106.364</v>
      </c>
      <c r="K97" s="494">
        <v>113.038</v>
      </c>
      <c r="L97" s="494">
        <v>118.752</v>
      </c>
      <c r="M97" s="494">
        <v>123.858</v>
      </c>
      <c r="N97" s="494">
        <v>125.405</v>
      </c>
      <c r="O97" s="494">
        <v>129.97300000000001</v>
      </c>
      <c r="P97" s="494">
        <v>134.24700000000001</v>
      </c>
      <c r="Q97" s="494">
        <v>139.54599999999999</v>
      </c>
      <c r="R97" s="494">
        <v>143.34399999999999</v>
      </c>
    </row>
    <row r="98" spans="2:18" ht="15.75" x14ac:dyDescent="0.25">
      <c r="B98" s="493">
        <v>96</v>
      </c>
      <c r="C98" s="494">
        <v>119.871</v>
      </c>
      <c r="D98" s="494">
        <v>131.14099999999999</v>
      </c>
      <c r="E98" s="494">
        <v>144.56700000000001</v>
      </c>
      <c r="F98" s="145"/>
      <c r="G98" s="493">
        <v>96</v>
      </c>
      <c r="H98" s="494">
        <v>64.063000000000002</v>
      </c>
      <c r="I98" s="494">
        <v>70.783000000000001</v>
      </c>
      <c r="J98" s="494">
        <v>107.425</v>
      </c>
      <c r="K98" s="494">
        <v>114.131</v>
      </c>
      <c r="L98" s="494">
        <v>119.871</v>
      </c>
      <c r="M98" s="494">
        <v>125</v>
      </c>
      <c r="N98" s="494">
        <v>126.554</v>
      </c>
      <c r="O98" s="494">
        <v>131.14099999999999</v>
      </c>
      <c r="P98" s="494">
        <v>135.43299999999999</v>
      </c>
      <c r="Q98" s="494">
        <v>140.755</v>
      </c>
      <c r="R98" s="494">
        <v>144.56700000000001</v>
      </c>
    </row>
    <row r="99" spans="2:18" ht="15.75" x14ac:dyDescent="0.25">
      <c r="B99" s="493">
        <v>97</v>
      </c>
      <c r="C99" s="494">
        <v>120.99</v>
      </c>
      <c r="D99" s="494">
        <v>132.309</v>
      </c>
      <c r="E99" s="494">
        <v>145.78899999999999</v>
      </c>
      <c r="F99" s="145"/>
      <c r="G99" s="493">
        <v>97</v>
      </c>
      <c r="H99" s="494">
        <v>64.878</v>
      </c>
      <c r="I99" s="494">
        <v>71.641999999999996</v>
      </c>
      <c r="J99" s="494">
        <v>108.486</v>
      </c>
      <c r="K99" s="494">
        <v>115.223</v>
      </c>
      <c r="L99" s="494">
        <v>120.99</v>
      </c>
      <c r="M99" s="494">
        <v>126.14100000000001</v>
      </c>
      <c r="N99" s="494">
        <v>127.702</v>
      </c>
      <c r="O99" s="494">
        <v>132.309</v>
      </c>
      <c r="P99" s="494">
        <v>136.619</v>
      </c>
      <c r="Q99" s="494">
        <v>141.96199999999999</v>
      </c>
      <c r="R99" s="494">
        <v>145.78899999999999</v>
      </c>
    </row>
    <row r="100" spans="2:18" ht="15.75" x14ac:dyDescent="0.25">
      <c r="B100" s="493">
        <v>98</v>
      </c>
      <c r="C100" s="494">
        <v>122.108</v>
      </c>
      <c r="D100" s="494">
        <v>133.476</v>
      </c>
      <c r="E100" s="494">
        <v>147.01</v>
      </c>
      <c r="F100" s="145"/>
      <c r="G100" s="493">
        <v>98</v>
      </c>
      <c r="H100" s="494">
        <v>65.694000000000003</v>
      </c>
      <c r="I100" s="494">
        <v>72.501000000000005</v>
      </c>
      <c r="J100" s="494">
        <v>109.547</v>
      </c>
      <c r="K100" s="494">
        <v>116.315</v>
      </c>
      <c r="L100" s="494">
        <v>122.108</v>
      </c>
      <c r="M100" s="494">
        <v>127.282</v>
      </c>
      <c r="N100" s="494">
        <v>128.84899999999999</v>
      </c>
      <c r="O100" s="494">
        <v>133.476</v>
      </c>
      <c r="P100" s="494">
        <v>137.803</v>
      </c>
      <c r="Q100" s="494">
        <v>143.16800000000001</v>
      </c>
      <c r="R100" s="494">
        <v>147.01</v>
      </c>
    </row>
    <row r="101" spans="2:18" ht="15.75" x14ac:dyDescent="0.25">
      <c r="B101" s="493">
        <v>99</v>
      </c>
      <c r="C101" s="494">
        <v>123.22499999999999</v>
      </c>
      <c r="D101" s="494">
        <v>134.642</v>
      </c>
      <c r="E101" s="494">
        <v>148.22999999999999</v>
      </c>
      <c r="F101" s="145"/>
      <c r="G101" s="493">
        <v>99</v>
      </c>
      <c r="H101" s="494">
        <v>66.510000000000005</v>
      </c>
      <c r="I101" s="494">
        <v>73.361000000000004</v>
      </c>
      <c r="J101" s="494">
        <v>110.607</v>
      </c>
      <c r="K101" s="494">
        <v>117.407</v>
      </c>
      <c r="L101" s="494">
        <v>123.22499999999999</v>
      </c>
      <c r="M101" s="494">
        <v>128.422</v>
      </c>
      <c r="N101" s="494">
        <v>129.99600000000001</v>
      </c>
      <c r="O101" s="494">
        <v>134.642</v>
      </c>
      <c r="P101" s="494">
        <v>138.98699999999999</v>
      </c>
      <c r="Q101" s="494">
        <v>144.37299999999999</v>
      </c>
      <c r="R101" s="494">
        <v>148.22999999999999</v>
      </c>
    </row>
    <row r="102" spans="2:18" ht="15.75" x14ac:dyDescent="0.25">
      <c r="B102" s="493">
        <v>100</v>
      </c>
      <c r="C102" s="494">
        <v>124.342</v>
      </c>
      <c r="D102" s="494">
        <v>135.80699999999999</v>
      </c>
      <c r="E102" s="494">
        <v>149.44900000000001</v>
      </c>
      <c r="F102" s="145"/>
      <c r="G102" s="493">
        <v>100</v>
      </c>
      <c r="H102" s="494">
        <v>67.328000000000003</v>
      </c>
      <c r="I102" s="494">
        <v>74.221999999999994</v>
      </c>
      <c r="J102" s="494">
        <v>111.667</v>
      </c>
      <c r="K102" s="494">
        <v>118.498</v>
      </c>
      <c r="L102" s="494">
        <v>124.342</v>
      </c>
      <c r="M102" s="494">
        <v>129.56100000000001</v>
      </c>
      <c r="N102" s="494">
        <v>131.142</v>
      </c>
      <c r="O102" s="494">
        <v>135.80699999999999</v>
      </c>
      <c r="P102" s="494">
        <v>140.16900000000001</v>
      </c>
      <c r="Q102" s="494">
        <v>145.577</v>
      </c>
      <c r="R102" s="494">
        <v>149.44900000000001</v>
      </c>
    </row>
    <row r="103" spans="2:18" ht="15.75" x14ac:dyDescent="0.25">
      <c r="B103" s="493">
        <v>101</v>
      </c>
      <c r="C103" s="494">
        <v>125.458</v>
      </c>
      <c r="D103" s="494">
        <v>136.971</v>
      </c>
      <c r="E103" s="494">
        <v>150.667</v>
      </c>
      <c r="F103" s="145"/>
      <c r="G103" s="493">
        <v>101</v>
      </c>
      <c r="H103" s="494">
        <v>68.146000000000001</v>
      </c>
      <c r="I103" s="494">
        <v>75.082999999999998</v>
      </c>
      <c r="J103" s="494">
        <v>112.726</v>
      </c>
      <c r="K103" s="494">
        <v>119.589</v>
      </c>
      <c r="L103" s="494">
        <v>125.458</v>
      </c>
      <c r="M103" s="494">
        <v>130.69999999999999</v>
      </c>
      <c r="N103" s="494">
        <v>132.28700000000001</v>
      </c>
      <c r="O103" s="494">
        <v>136.971</v>
      </c>
      <c r="P103" s="494">
        <v>141.351</v>
      </c>
      <c r="Q103" s="494">
        <v>146.78</v>
      </c>
      <c r="R103" s="494">
        <v>150.667</v>
      </c>
    </row>
    <row r="104" spans="2:18" ht="15.75" x14ac:dyDescent="0.25">
      <c r="B104" s="493">
        <v>102</v>
      </c>
      <c r="C104" s="494">
        <v>126.574</v>
      </c>
      <c r="D104" s="494">
        <v>138.13399999999999</v>
      </c>
      <c r="E104" s="494">
        <v>151.88399999999999</v>
      </c>
      <c r="F104" s="145"/>
      <c r="G104" s="493">
        <v>102</v>
      </c>
      <c r="H104" s="494">
        <v>68.965000000000003</v>
      </c>
      <c r="I104" s="494">
        <v>75.945999999999998</v>
      </c>
      <c r="J104" s="494">
        <v>113.786</v>
      </c>
      <c r="K104" s="494">
        <v>120.679</v>
      </c>
      <c r="L104" s="494">
        <v>126.574</v>
      </c>
      <c r="M104" s="494">
        <v>131.83799999999999</v>
      </c>
      <c r="N104" s="494">
        <v>133.43100000000001</v>
      </c>
      <c r="O104" s="494">
        <v>138.13399999999999</v>
      </c>
      <c r="P104" s="494">
        <v>142.53200000000001</v>
      </c>
      <c r="Q104" s="494">
        <v>147.982</v>
      </c>
      <c r="R104" s="494">
        <v>151.88399999999999</v>
      </c>
    </row>
    <row r="105" spans="2:18" ht="15.75" x14ac:dyDescent="0.25">
      <c r="B105" s="493">
        <v>103</v>
      </c>
      <c r="C105" s="494">
        <v>127.68899999999999</v>
      </c>
      <c r="D105" s="494">
        <v>139.297</v>
      </c>
      <c r="E105" s="494">
        <v>153.09899999999999</v>
      </c>
      <c r="F105" s="145"/>
      <c r="G105" s="493">
        <v>103</v>
      </c>
      <c r="H105" s="494">
        <v>69.784999999999997</v>
      </c>
      <c r="I105" s="494">
        <v>76.808999999999997</v>
      </c>
      <c r="J105" s="494">
        <v>114.845</v>
      </c>
      <c r="K105" s="494">
        <v>121.76900000000001</v>
      </c>
      <c r="L105" s="494">
        <v>127.68899999999999</v>
      </c>
      <c r="M105" s="494">
        <v>132.97499999999999</v>
      </c>
      <c r="N105" s="494">
        <v>134.57499999999999</v>
      </c>
      <c r="O105" s="494">
        <v>139.297</v>
      </c>
      <c r="P105" s="494">
        <v>143.71199999999999</v>
      </c>
      <c r="Q105" s="494">
        <v>149.18299999999999</v>
      </c>
      <c r="R105" s="494">
        <v>153.09899999999999</v>
      </c>
    </row>
    <row r="106" spans="2:18" ht="15.75" x14ac:dyDescent="0.25">
      <c r="B106" s="493">
        <v>104</v>
      </c>
      <c r="C106" s="494">
        <v>128.804</v>
      </c>
      <c r="D106" s="494">
        <v>140.459</v>
      </c>
      <c r="E106" s="494">
        <v>154.31399999999999</v>
      </c>
      <c r="F106" s="145"/>
      <c r="G106" s="493">
        <v>104</v>
      </c>
      <c r="H106" s="494">
        <v>70.605999999999995</v>
      </c>
      <c r="I106" s="494">
        <v>77.671999999999997</v>
      </c>
      <c r="J106" s="494">
        <v>115.90300000000001</v>
      </c>
      <c r="K106" s="494">
        <v>122.858</v>
      </c>
      <c r="L106" s="494">
        <v>128.804</v>
      </c>
      <c r="M106" s="494">
        <v>134.11099999999999</v>
      </c>
      <c r="N106" s="494">
        <v>135.71799999999999</v>
      </c>
      <c r="O106" s="494">
        <v>140.459</v>
      </c>
      <c r="P106" s="494">
        <v>144.89099999999999</v>
      </c>
      <c r="Q106" s="494">
        <v>150.38300000000001</v>
      </c>
      <c r="R106" s="494">
        <v>154.31399999999999</v>
      </c>
    </row>
    <row r="107" spans="2:18" ht="15.75" x14ac:dyDescent="0.25">
      <c r="B107" s="493">
        <v>105</v>
      </c>
      <c r="C107" s="494">
        <v>129.91800000000001</v>
      </c>
      <c r="D107" s="494">
        <v>141.62</v>
      </c>
      <c r="E107" s="494">
        <v>155.52799999999999</v>
      </c>
      <c r="F107" s="145"/>
      <c r="G107" s="493">
        <v>105</v>
      </c>
      <c r="H107" s="494">
        <v>71.427999999999997</v>
      </c>
      <c r="I107" s="494">
        <v>78.536000000000001</v>
      </c>
      <c r="J107" s="494">
        <v>116.962</v>
      </c>
      <c r="K107" s="494">
        <v>123.947</v>
      </c>
      <c r="L107" s="494">
        <v>129.91800000000001</v>
      </c>
      <c r="M107" s="494">
        <v>135.24700000000001</v>
      </c>
      <c r="N107" s="494">
        <v>136.86000000000001</v>
      </c>
      <c r="O107" s="494">
        <v>141.62</v>
      </c>
      <c r="P107" s="494">
        <v>146.07</v>
      </c>
      <c r="Q107" s="494">
        <v>151.58199999999999</v>
      </c>
      <c r="R107" s="494">
        <v>155.52799999999999</v>
      </c>
    </row>
    <row r="108" spans="2:18" ht="15.75" x14ac:dyDescent="0.25">
      <c r="B108" s="493">
        <v>106</v>
      </c>
      <c r="C108" s="494">
        <v>131.03100000000001</v>
      </c>
      <c r="D108" s="494">
        <v>142.78</v>
      </c>
      <c r="E108" s="494">
        <v>156.74</v>
      </c>
      <c r="F108" s="145"/>
      <c r="G108" s="493">
        <v>106</v>
      </c>
      <c r="H108" s="494">
        <v>72.251000000000005</v>
      </c>
      <c r="I108" s="494">
        <v>79.400999999999996</v>
      </c>
      <c r="J108" s="494">
        <v>118.02</v>
      </c>
      <c r="K108" s="494">
        <v>125.035</v>
      </c>
      <c r="L108" s="494">
        <v>131.03100000000001</v>
      </c>
      <c r="M108" s="494">
        <v>136.38200000000001</v>
      </c>
      <c r="N108" s="494">
        <v>138.00200000000001</v>
      </c>
      <c r="O108" s="494">
        <v>142.78</v>
      </c>
      <c r="P108" s="494">
        <v>147.24700000000001</v>
      </c>
      <c r="Q108" s="494">
        <v>152.78</v>
      </c>
      <c r="R108" s="494">
        <v>156.74</v>
      </c>
    </row>
    <row r="109" spans="2:18" ht="15.75" x14ac:dyDescent="0.25">
      <c r="B109" s="493">
        <v>107</v>
      </c>
      <c r="C109" s="494">
        <v>132.14400000000001</v>
      </c>
      <c r="D109" s="494">
        <v>143.94</v>
      </c>
      <c r="E109" s="494">
        <v>157.952</v>
      </c>
      <c r="F109" s="145"/>
      <c r="G109" s="493">
        <v>107</v>
      </c>
      <c r="H109" s="494">
        <v>73.075000000000003</v>
      </c>
      <c r="I109" s="494">
        <v>80.266999999999996</v>
      </c>
      <c r="J109" s="494">
        <v>119.078</v>
      </c>
      <c r="K109" s="494">
        <v>126.123</v>
      </c>
      <c r="L109" s="494">
        <v>132.14400000000001</v>
      </c>
      <c r="M109" s="494">
        <v>137.517</v>
      </c>
      <c r="N109" s="494">
        <v>139.143</v>
      </c>
      <c r="O109" s="494">
        <v>143.94</v>
      </c>
      <c r="P109" s="494">
        <v>148.42400000000001</v>
      </c>
      <c r="Q109" s="494">
        <v>153.977</v>
      </c>
      <c r="R109" s="494">
        <v>157.952</v>
      </c>
    </row>
    <row r="110" spans="2:18" ht="15.75" x14ac:dyDescent="0.25">
      <c r="B110" s="493">
        <v>108</v>
      </c>
      <c r="C110" s="494">
        <v>133.25700000000001</v>
      </c>
      <c r="D110" s="494">
        <v>145.09899999999999</v>
      </c>
      <c r="E110" s="494">
        <v>159.16200000000001</v>
      </c>
      <c r="F110" s="145"/>
      <c r="G110" s="493">
        <v>108</v>
      </c>
      <c r="H110" s="494">
        <v>73.899000000000001</v>
      </c>
      <c r="I110" s="494">
        <v>81.132999999999996</v>
      </c>
      <c r="J110" s="494">
        <v>120.13500000000001</v>
      </c>
      <c r="K110" s="494">
        <v>127.211</v>
      </c>
      <c r="L110" s="494">
        <v>133.25700000000001</v>
      </c>
      <c r="M110" s="494">
        <v>138.65100000000001</v>
      </c>
      <c r="N110" s="494">
        <v>140.28299999999999</v>
      </c>
      <c r="O110" s="494">
        <v>145.09899999999999</v>
      </c>
      <c r="P110" s="494">
        <v>149.59899999999999</v>
      </c>
      <c r="Q110" s="494">
        <v>155.173</v>
      </c>
      <c r="R110" s="494">
        <v>159.16200000000001</v>
      </c>
    </row>
    <row r="111" spans="2:18" ht="15.75" x14ac:dyDescent="0.25">
      <c r="B111" s="493">
        <v>109</v>
      </c>
      <c r="C111" s="494">
        <v>134.369</v>
      </c>
      <c r="D111" s="494">
        <v>146.25700000000001</v>
      </c>
      <c r="E111" s="494">
        <v>160.37200000000001</v>
      </c>
      <c r="F111" s="145"/>
      <c r="G111" s="493">
        <v>109</v>
      </c>
      <c r="H111" s="494">
        <v>74.724000000000004</v>
      </c>
      <c r="I111" s="494">
        <v>82</v>
      </c>
      <c r="J111" s="494">
        <v>121.19199999999999</v>
      </c>
      <c r="K111" s="494">
        <v>128.298</v>
      </c>
      <c r="L111" s="494">
        <v>134.369</v>
      </c>
      <c r="M111" s="494">
        <v>139.78399999999999</v>
      </c>
      <c r="N111" s="494">
        <v>141.423</v>
      </c>
      <c r="O111" s="494">
        <v>146.25700000000001</v>
      </c>
      <c r="P111" s="494">
        <v>150.774</v>
      </c>
      <c r="Q111" s="494">
        <v>156.369</v>
      </c>
      <c r="R111" s="494">
        <v>160.37200000000001</v>
      </c>
    </row>
    <row r="112" spans="2:18" ht="15.75" x14ac:dyDescent="0.25">
      <c r="B112" s="493">
        <v>110</v>
      </c>
      <c r="C112" s="494">
        <v>135.47999999999999</v>
      </c>
      <c r="D112" s="494">
        <v>147.41399999999999</v>
      </c>
      <c r="E112" s="494">
        <v>161.58099999999999</v>
      </c>
      <c r="F112" s="145"/>
      <c r="G112" s="493">
        <v>110</v>
      </c>
      <c r="H112" s="494">
        <v>75.55</v>
      </c>
      <c r="I112" s="494">
        <v>82.867000000000004</v>
      </c>
      <c r="J112" s="494">
        <v>122.25</v>
      </c>
      <c r="K112" s="494">
        <v>129.38499999999999</v>
      </c>
      <c r="L112" s="494">
        <v>135.47999999999999</v>
      </c>
      <c r="M112" s="494">
        <v>140.917</v>
      </c>
      <c r="N112" s="494">
        <v>142.56200000000001</v>
      </c>
      <c r="O112" s="494">
        <v>147.41399999999999</v>
      </c>
      <c r="P112" s="494">
        <v>151.94800000000001</v>
      </c>
      <c r="Q112" s="494">
        <v>157.56299999999999</v>
      </c>
      <c r="R112" s="494">
        <v>161.58099999999999</v>
      </c>
    </row>
    <row r="113" spans="2:18" ht="15.75" x14ac:dyDescent="0.25">
      <c r="B113" s="493">
        <v>111</v>
      </c>
      <c r="C113" s="494">
        <v>136.59100000000001</v>
      </c>
      <c r="D113" s="494">
        <v>148.571</v>
      </c>
      <c r="E113" s="494">
        <v>162.78800000000001</v>
      </c>
      <c r="F113" s="145"/>
      <c r="G113" s="493">
        <v>111</v>
      </c>
      <c r="H113" s="494">
        <v>76.376999999999995</v>
      </c>
      <c r="I113" s="494">
        <v>83.734999999999999</v>
      </c>
      <c r="J113" s="494">
        <v>123.306</v>
      </c>
      <c r="K113" s="494">
        <v>130.47200000000001</v>
      </c>
      <c r="L113" s="494">
        <v>136.59100000000001</v>
      </c>
      <c r="M113" s="494">
        <v>142.04900000000001</v>
      </c>
      <c r="N113" s="494">
        <v>143.69999999999999</v>
      </c>
      <c r="O113" s="494">
        <v>148.571</v>
      </c>
      <c r="P113" s="494">
        <v>153.12200000000001</v>
      </c>
      <c r="Q113" s="494">
        <v>158.75700000000001</v>
      </c>
      <c r="R113" s="494">
        <v>162.78800000000001</v>
      </c>
    </row>
    <row r="114" spans="2:18" ht="15.75" x14ac:dyDescent="0.25">
      <c r="B114" s="493">
        <v>112</v>
      </c>
      <c r="C114" s="494">
        <v>137.70099999999999</v>
      </c>
      <c r="D114" s="494">
        <v>149.727</v>
      </c>
      <c r="E114" s="494">
        <v>163.995</v>
      </c>
      <c r="F114" s="145"/>
      <c r="G114" s="493">
        <v>112</v>
      </c>
      <c r="H114" s="494">
        <v>77.203999999999994</v>
      </c>
      <c r="I114" s="494">
        <v>84.603999999999999</v>
      </c>
      <c r="J114" s="494">
        <v>124.363</v>
      </c>
      <c r="K114" s="494">
        <v>131.55799999999999</v>
      </c>
      <c r="L114" s="494">
        <v>137.70099999999999</v>
      </c>
      <c r="M114" s="494">
        <v>143.18</v>
      </c>
      <c r="N114" s="494">
        <v>144.83799999999999</v>
      </c>
      <c r="O114" s="494">
        <v>149.727</v>
      </c>
      <c r="P114" s="494">
        <v>154.29400000000001</v>
      </c>
      <c r="Q114" s="494">
        <v>159.94999999999999</v>
      </c>
      <c r="R114" s="494">
        <v>163.995</v>
      </c>
    </row>
    <row r="115" spans="2:18" ht="15.75" x14ac:dyDescent="0.25">
      <c r="B115" s="493">
        <v>113</v>
      </c>
      <c r="C115" s="494">
        <v>138.81100000000001</v>
      </c>
      <c r="D115" s="494">
        <v>150.88200000000001</v>
      </c>
      <c r="E115" s="494">
        <v>165.20099999999999</v>
      </c>
      <c r="F115" s="145"/>
      <c r="G115" s="493">
        <v>113</v>
      </c>
      <c r="H115" s="494">
        <v>78.033000000000001</v>
      </c>
      <c r="I115" s="494">
        <v>85.472999999999999</v>
      </c>
      <c r="J115" s="494">
        <v>125.419</v>
      </c>
      <c r="K115" s="494">
        <v>132.643</v>
      </c>
      <c r="L115" s="494">
        <v>138.81100000000001</v>
      </c>
      <c r="M115" s="494">
        <v>144.31100000000001</v>
      </c>
      <c r="N115" s="494">
        <v>145.97499999999999</v>
      </c>
      <c r="O115" s="494">
        <v>150.88200000000001</v>
      </c>
      <c r="P115" s="494">
        <v>155.46600000000001</v>
      </c>
      <c r="Q115" s="494">
        <v>161.14099999999999</v>
      </c>
      <c r="R115" s="494">
        <v>165.20099999999999</v>
      </c>
    </row>
    <row r="116" spans="2:18" ht="15.75" x14ac:dyDescent="0.25">
      <c r="B116" s="493">
        <v>114</v>
      </c>
      <c r="C116" s="494">
        <v>139.92099999999999</v>
      </c>
      <c r="D116" s="494">
        <v>152.03700000000001</v>
      </c>
      <c r="E116" s="494">
        <v>166.40600000000001</v>
      </c>
      <c r="F116" s="145"/>
      <c r="G116" s="493">
        <v>114</v>
      </c>
      <c r="H116" s="494">
        <v>78.861999999999995</v>
      </c>
      <c r="I116" s="494">
        <v>86.341999999999999</v>
      </c>
      <c r="J116" s="494">
        <v>126.47499999999999</v>
      </c>
      <c r="K116" s="494">
        <v>133.72900000000001</v>
      </c>
      <c r="L116" s="494">
        <v>139.92099999999999</v>
      </c>
      <c r="M116" s="494">
        <v>145.441</v>
      </c>
      <c r="N116" s="494">
        <v>147.11099999999999</v>
      </c>
      <c r="O116" s="494">
        <v>152.03700000000001</v>
      </c>
      <c r="P116" s="494">
        <v>156.637</v>
      </c>
      <c r="Q116" s="494">
        <v>162.33199999999999</v>
      </c>
      <c r="R116" s="494">
        <v>166.40600000000001</v>
      </c>
    </row>
    <row r="117" spans="2:18" ht="15.75" x14ac:dyDescent="0.25">
      <c r="B117" s="493">
        <v>115</v>
      </c>
      <c r="C117" s="494">
        <v>141.03</v>
      </c>
      <c r="D117" s="494">
        <v>153.191</v>
      </c>
      <c r="E117" s="494">
        <v>167.61</v>
      </c>
      <c r="F117" s="145"/>
      <c r="G117" s="493">
        <v>115</v>
      </c>
      <c r="H117" s="494">
        <v>79.691999999999993</v>
      </c>
      <c r="I117" s="494">
        <v>87.212999999999994</v>
      </c>
      <c r="J117" s="494">
        <v>127.53100000000001</v>
      </c>
      <c r="K117" s="494">
        <v>134.81299999999999</v>
      </c>
      <c r="L117" s="494">
        <v>141.03</v>
      </c>
      <c r="M117" s="494">
        <v>146.571</v>
      </c>
      <c r="N117" s="494">
        <v>148.24700000000001</v>
      </c>
      <c r="O117" s="494">
        <v>153.191</v>
      </c>
      <c r="P117" s="494">
        <v>157.80799999999999</v>
      </c>
      <c r="Q117" s="494">
        <v>163.523</v>
      </c>
      <c r="R117" s="494">
        <v>167.61</v>
      </c>
    </row>
    <row r="118" spans="2:18" ht="15.75" x14ac:dyDescent="0.25">
      <c r="B118" s="493">
        <v>116</v>
      </c>
      <c r="C118" s="494">
        <v>142.13800000000001</v>
      </c>
      <c r="D118" s="494">
        <v>154.34399999999999</v>
      </c>
      <c r="E118" s="494">
        <v>168.81299999999999</v>
      </c>
      <c r="F118" s="145"/>
      <c r="G118" s="493">
        <v>116</v>
      </c>
      <c r="H118" s="494">
        <v>80.522000000000006</v>
      </c>
      <c r="I118" s="494">
        <v>88.084000000000003</v>
      </c>
      <c r="J118" s="494">
        <v>128.58699999999999</v>
      </c>
      <c r="K118" s="494">
        <v>135.898</v>
      </c>
      <c r="L118" s="494">
        <v>142.13800000000001</v>
      </c>
      <c r="M118" s="494">
        <v>147.69999999999999</v>
      </c>
      <c r="N118" s="494">
        <v>149.38300000000001</v>
      </c>
      <c r="O118" s="494">
        <v>154.34399999999999</v>
      </c>
      <c r="P118" s="494">
        <v>158.977</v>
      </c>
      <c r="Q118" s="494">
        <v>164.71199999999999</v>
      </c>
      <c r="R118" s="494">
        <v>168.81299999999999</v>
      </c>
    </row>
    <row r="119" spans="2:18" ht="15.75" x14ac:dyDescent="0.25">
      <c r="B119" s="493">
        <v>117</v>
      </c>
      <c r="C119" s="494">
        <v>143.24600000000001</v>
      </c>
      <c r="D119" s="494">
        <v>155.49600000000001</v>
      </c>
      <c r="E119" s="494">
        <v>170.01599999999999</v>
      </c>
      <c r="F119" s="145"/>
      <c r="G119" s="493">
        <v>117</v>
      </c>
      <c r="H119" s="494">
        <v>81.352999999999994</v>
      </c>
      <c r="I119" s="494">
        <v>88.954999999999998</v>
      </c>
      <c r="J119" s="494">
        <v>129.642</v>
      </c>
      <c r="K119" s="494">
        <v>136.982</v>
      </c>
      <c r="L119" s="494">
        <v>143.24600000000001</v>
      </c>
      <c r="M119" s="494">
        <v>148.82900000000001</v>
      </c>
      <c r="N119" s="494">
        <v>150.517</v>
      </c>
      <c r="O119" s="494">
        <v>155.49600000000001</v>
      </c>
      <c r="P119" s="494">
        <v>160.14599999999999</v>
      </c>
      <c r="Q119" s="494">
        <v>165.9</v>
      </c>
      <c r="R119" s="494">
        <v>170.01599999999999</v>
      </c>
    </row>
    <row r="120" spans="2:18" ht="15.75" x14ac:dyDescent="0.25">
      <c r="B120" s="493">
        <v>118</v>
      </c>
      <c r="C120" s="494">
        <v>144.35400000000001</v>
      </c>
      <c r="D120" s="494">
        <v>156.648</v>
      </c>
      <c r="E120" s="494">
        <v>171.21700000000001</v>
      </c>
      <c r="F120" s="145"/>
      <c r="G120" s="493">
        <v>118</v>
      </c>
      <c r="H120" s="494">
        <v>82.185000000000002</v>
      </c>
      <c r="I120" s="494">
        <v>89.826999999999998</v>
      </c>
      <c r="J120" s="494">
        <v>130.697</v>
      </c>
      <c r="K120" s="494">
        <v>138.066</v>
      </c>
      <c r="L120" s="494">
        <v>144.35400000000001</v>
      </c>
      <c r="M120" s="494">
        <v>149.95699999999999</v>
      </c>
      <c r="N120" s="494">
        <v>151.65199999999999</v>
      </c>
      <c r="O120" s="494">
        <v>156.648</v>
      </c>
      <c r="P120" s="494">
        <v>161.31399999999999</v>
      </c>
      <c r="Q120" s="494">
        <v>167.08799999999999</v>
      </c>
      <c r="R120" s="494">
        <v>171.21700000000001</v>
      </c>
    </row>
    <row r="121" spans="2:18" ht="15.75" x14ac:dyDescent="0.25">
      <c r="B121" s="493">
        <v>119</v>
      </c>
      <c r="C121" s="494">
        <v>145.46100000000001</v>
      </c>
      <c r="D121" s="494">
        <v>157.80000000000001</v>
      </c>
      <c r="E121" s="494">
        <v>172.41800000000001</v>
      </c>
      <c r="F121" s="145"/>
      <c r="G121" s="493">
        <v>119</v>
      </c>
      <c r="H121" s="494">
        <v>83.018000000000001</v>
      </c>
      <c r="I121" s="494">
        <v>90.7</v>
      </c>
      <c r="J121" s="494">
        <v>131.75200000000001</v>
      </c>
      <c r="K121" s="494">
        <v>139.149</v>
      </c>
      <c r="L121" s="494">
        <v>145.46100000000001</v>
      </c>
      <c r="M121" s="494">
        <v>151.084</v>
      </c>
      <c r="N121" s="494">
        <v>152.785</v>
      </c>
      <c r="O121" s="494">
        <v>157.80000000000001</v>
      </c>
      <c r="P121" s="494">
        <v>162.48099999999999</v>
      </c>
      <c r="Q121" s="494">
        <v>168.27500000000001</v>
      </c>
      <c r="R121" s="494">
        <v>172.41800000000001</v>
      </c>
    </row>
    <row r="122" spans="2:18" ht="15.75" x14ac:dyDescent="0.25">
      <c r="B122" s="493">
        <v>120</v>
      </c>
      <c r="C122" s="494">
        <v>146.56700000000001</v>
      </c>
      <c r="D122" s="494">
        <v>158.94999999999999</v>
      </c>
      <c r="E122" s="494">
        <v>173.61699999999999</v>
      </c>
      <c r="F122" s="145"/>
      <c r="G122" s="493">
        <v>120</v>
      </c>
      <c r="H122" s="494">
        <v>83.852000000000004</v>
      </c>
      <c r="I122" s="494">
        <v>91.572999999999993</v>
      </c>
      <c r="J122" s="494">
        <v>132.80600000000001</v>
      </c>
      <c r="K122" s="494">
        <v>140.233</v>
      </c>
      <c r="L122" s="494">
        <v>146.56700000000001</v>
      </c>
      <c r="M122" s="494">
        <v>152.21100000000001</v>
      </c>
      <c r="N122" s="494">
        <v>153.91800000000001</v>
      </c>
      <c r="O122" s="494">
        <v>158.94999999999999</v>
      </c>
      <c r="P122" s="494">
        <v>163.648</v>
      </c>
      <c r="Q122" s="494">
        <v>169.46100000000001</v>
      </c>
      <c r="R122" s="494">
        <v>173.61699999999999</v>
      </c>
    </row>
    <row r="123" spans="2:18" ht="15.75" x14ac:dyDescent="0.25">
      <c r="B123" s="493">
        <v>121</v>
      </c>
      <c r="C123" s="494">
        <v>147.67400000000001</v>
      </c>
      <c r="D123" s="494">
        <v>160.1</v>
      </c>
      <c r="E123" s="494">
        <v>174.816</v>
      </c>
      <c r="F123" s="145"/>
      <c r="G123" s="493">
        <v>121</v>
      </c>
      <c r="H123" s="494">
        <v>84.686000000000007</v>
      </c>
      <c r="I123" s="494">
        <v>92.445999999999998</v>
      </c>
      <c r="J123" s="494">
        <v>133.86099999999999</v>
      </c>
      <c r="K123" s="494">
        <v>141.315</v>
      </c>
      <c r="L123" s="494">
        <v>147.67400000000001</v>
      </c>
      <c r="M123" s="494">
        <v>153.33799999999999</v>
      </c>
      <c r="N123" s="494">
        <v>155.05099999999999</v>
      </c>
      <c r="O123" s="494">
        <v>160.1</v>
      </c>
      <c r="P123" s="494">
        <v>164.81399999999999</v>
      </c>
      <c r="Q123" s="494">
        <v>170.64699999999999</v>
      </c>
      <c r="R123" s="494">
        <v>174.816</v>
      </c>
    </row>
    <row r="124" spans="2:18" ht="15.75" x14ac:dyDescent="0.25">
      <c r="B124" s="493">
        <v>122</v>
      </c>
      <c r="C124" s="494">
        <v>148.779</v>
      </c>
      <c r="D124" s="494">
        <v>161.25</v>
      </c>
      <c r="E124" s="494">
        <v>176.01400000000001</v>
      </c>
      <c r="F124" s="145"/>
      <c r="G124" s="493">
        <v>122</v>
      </c>
      <c r="H124" s="494">
        <v>85.52</v>
      </c>
      <c r="I124" s="494">
        <v>93.32</v>
      </c>
      <c r="J124" s="494">
        <v>134.91499999999999</v>
      </c>
      <c r="K124" s="494">
        <v>142.398</v>
      </c>
      <c r="L124" s="494">
        <v>148.779</v>
      </c>
      <c r="M124" s="494">
        <v>154.464</v>
      </c>
      <c r="N124" s="494">
        <v>156.18299999999999</v>
      </c>
      <c r="O124" s="494">
        <v>161.25</v>
      </c>
      <c r="P124" s="494">
        <v>165.98</v>
      </c>
      <c r="Q124" s="494">
        <v>171.83099999999999</v>
      </c>
      <c r="R124" s="494">
        <v>176.01400000000001</v>
      </c>
    </row>
    <row r="125" spans="2:18" ht="15.75" x14ac:dyDescent="0.25">
      <c r="B125" s="493">
        <v>123</v>
      </c>
      <c r="C125" s="494">
        <v>149.88499999999999</v>
      </c>
      <c r="D125" s="494">
        <v>162.398</v>
      </c>
      <c r="E125" s="494">
        <v>177.21199999999999</v>
      </c>
      <c r="F125" s="145"/>
      <c r="G125" s="493">
        <v>123</v>
      </c>
      <c r="H125" s="494">
        <v>86.355999999999995</v>
      </c>
      <c r="I125" s="494">
        <v>94.194999999999993</v>
      </c>
      <c r="J125" s="494">
        <v>135.96899999999999</v>
      </c>
      <c r="K125" s="494">
        <v>143.47999999999999</v>
      </c>
      <c r="L125" s="494">
        <v>149.88499999999999</v>
      </c>
      <c r="M125" s="494">
        <v>155.589</v>
      </c>
      <c r="N125" s="494">
        <v>157.31399999999999</v>
      </c>
      <c r="O125" s="494">
        <v>162.398</v>
      </c>
      <c r="P125" s="494">
        <v>167.14400000000001</v>
      </c>
      <c r="Q125" s="494">
        <v>173.01499999999999</v>
      </c>
      <c r="R125" s="494">
        <v>177.21199999999999</v>
      </c>
    </row>
    <row r="126" spans="2:18" ht="15.75" x14ac:dyDescent="0.25">
      <c r="B126" s="493">
        <v>124</v>
      </c>
      <c r="C126" s="494">
        <v>150.989</v>
      </c>
      <c r="D126" s="494">
        <v>163.54599999999999</v>
      </c>
      <c r="E126" s="494">
        <v>178.40799999999999</v>
      </c>
      <c r="F126" s="145"/>
      <c r="G126" s="493">
        <v>124</v>
      </c>
      <c r="H126" s="494">
        <v>87.191999999999993</v>
      </c>
      <c r="I126" s="494">
        <v>95.07</v>
      </c>
      <c r="J126" s="494">
        <v>137.02199999999999</v>
      </c>
      <c r="K126" s="494">
        <v>144.56200000000001</v>
      </c>
      <c r="L126" s="494">
        <v>150.989</v>
      </c>
      <c r="M126" s="494">
        <v>156.714</v>
      </c>
      <c r="N126" s="494">
        <v>158.44499999999999</v>
      </c>
      <c r="O126" s="494">
        <v>163.54599999999999</v>
      </c>
      <c r="P126" s="494">
        <v>168.30799999999999</v>
      </c>
      <c r="Q126" s="494">
        <v>174.19800000000001</v>
      </c>
      <c r="R126" s="494">
        <v>178.40799999999999</v>
      </c>
    </row>
    <row r="127" spans="2:18" ht="15.75" x14ac:dyDescent="0.25">
      <c r="B127" s="493">
        <v>125</v>
      </c>
      <c r="C127" s="494">
        <v>152.09399999999999</v>
      </c>
      <c r="D127" s="494">
        <v>164.69399999999999</v>
      </c>
      <c r="E127" s="494">
        <v>179.60400000000001</v>
      </c>
      <c r="F127" s="145"/>
      <c r="G127" s="493">
        <v>125</v>
      </c>
      <c r="H127" s="494">
        <v>88.028999999999996</v>
      </c>
      <c r="I127" s="494">
        <v>95.945999999999998</v>
      </c>
      <c r="J127" s="494">
        <v>138.07599999999999</v>
      </c>
      <c r="K127" s="494">
        <v>145.643</v>
      </c>
      <c r="L127" s="494">
        <v>152.09399999999999</v>
      </c>
      <c r="M127" s="494">
        <v>157.839</v>
      </c>
      <c r="N127" s="494">
        <v>159.57499999999999</v>
      </c>
      <c r="O127" s="494">
        <v>164.69399999999999</v>
      </c>
      <c r="P127" s="494">
        <v>169.471</v>
      </c>
      <c r="Q127" s="494">
        <v>175.38</v>
      </c>
      <c r="R127" s="494">
        <v>179.60400000000001</v>
      </c>
    </row>
    <row r="128" spans="2:18" ht="15.75" x14ac:dyDescent="0.25">
      <c r="B128" s="493">
        <v>126</v>
      </c>
      <c r="C128" s="494">
        <v>153.19800000000001</v>
      </c>
      <c r="D128" s="494">
        <v>165.84100000000001</v>
      </c>
      <c r="E128" s="494">
        <v>180.79900000000001</v>
      </c>
      <c r="F128" s="145"/>
      <c r="G128" s="493">
        <v>126</v>
      </c>
      <c r="H128" s="494">
        <v>88.866</v>
      </c>
      <c r="I128" s="494">
        <v>96.822000000000003</v>
      </c>
      <c r="J128" s="494">
        <v>139.12899999999999</v>
      </c>
      <c r="K128" s="494">
        <v>146.72399999999999</v>
      </c>
      <c r="L128" s="494">
        <v>153.19800000000001</v>
      </c>
      <c r="M128" s="494">
        <v>158.96199999999999</v>
      </c>
      <c r="N128" s="494">
        <v>160.70500000000001</v>
      </c>
      <c r="O128" s="494">
        <v>165.84100000000001</v>
      </c>
      <c r="P128" s="494">
        <v>170.63399999999999</v>
      </c>
      <c r="Q128" s="494">
        <v>176.56200000000001</v>
      </c>
      <c r="R128" s="494">
        <v>180.79900000000001</v>
      </c>
    </row>
    <row r="129" spans="2:18" ht="15.75" x14ac:dyDescent="0.25">
      <c r="B129" s="493">
        <v>127</v>
      </c>
      <c r="C129" s="494">
        <v>154.30199999999999</v>
      </c>
      <c r="D129" s="494">
        <v>166.98699999999999</v>
      </c>
      <c r="E129" s="494">
        <v>181.99299999999999</v>
      </c>
      <c r="F129" s="145"/>
      <c r="G129" s="493">
        <v>127</v>
      </c>
      <c r="H129" s="494">
        <v>89.703999999999994</v>
      </c>
      <c r="I129" s="494">
        <v>97.697999999999993</v>
      </c>
      <c r="J129" s="494">
        <v>140.18199999999999</v>
      </c>
      <c r="K129" s="494">
        <v>147.80500000000001</v>
      </c>
      <c r="L129" s="494">
        <v>154.30199999999999</v>
      </c>
      <c r="M129" s="494">
        <v>160.08600000000001</v>
      </c>
      <c r="N129" s="494">
        <v>161.834</v>
      </c>
      <c r="O129" s="494">
        <v>166.98699999999999</v>
      </c>
      <c r="P129" s="494">
        <v>171.79599999999999</v>
      </c>
      <c r="Q129" s="494">
        <v>177.74299999999999</v>
      </c>
      <c r="R129" s="494">
        <v>181.99299999999999</v>
      </c>
    </row>
    <row r="130" spans="2:18" ht="15.75" x14ac:dyDescent="0.25">
      <c r="B130" s="493">
        <v>128</v>
      </c>
      <c r="C130" s="494">
        <v>155.405</v>
      </c>
      <c r="D130" s="494">
        <v>168.13300000000001</v>
      </c>
      <c r="E130" s="494">
        <v>183.18600000000001</v>
      </c>
      <c r="F130" s="145"/>
      <c r="G130" s="493">
        <v>128</v>
      </c>
      <c r="H130" s="494">
        <v>90.543000000000006</v>
      </c>
      <c r="I130" s="494">
        <v>98.575999999999993</v>
      </c>
      <c r="J130" s="494">
        <v>141.23500000000001</v>
      </c>
      <c r="K130" s="494">
        <v>148.88499999999999</v>
      </c>
      <c r="L130" s="494">
        <v>155.405</v>
      </c>
      <c r="M130" s="494">
        <v>161.209</v>
      </c>
      <c r="N130" s="494">
        <v>162.96299999999999</v>
      </c>
      <c r="O130" s="494">
        <v>168.13300000000001</v>
      </c>
      <c r="P130" s="494">
        <v>172.95699999999999</v>
      </c>
      <c r="Q130" s="494">
        <v>178.923</v>
      </c>
      <c r="R130" s="494">
        <v>183.18600000000001</v>
      </c>
    </row>
    <row r="131" spans="2:18" ht="15.75" x14ac:dyDescent="0.25">
      <c r="B131" s="493">
        <v>129</v>
      </c>
      <c r="C131" s="494">
        <v>156.50800000000001</v>
      </c>
      <c r="D131" s="494">
        <v>169.27799999999999</v>
      </c>
      <c r="E131" s="494">
        <v>184.37899999999999</v>
      </c>
      <c r="F131" s="145"/>
      <c r="G131" s="493">
        <v>129</v>
      </c>
      <c r="H131" s="494">
        <v>91.382000000000005</v>
      </c>
      <c r="I131" s="494">
        <v>99.453000000000003</v>
      </c>
      <c r="J131" s="494">
        <v>142.28800000000001</v>
      </c>
      <c r="K131" s="494">
        <v>149.965</v>
      </c>
      <c r="L131" s="494">
        <v>156.50800000000001</v>
      </c>
      <c r="M131" s="494">
        <v>162.33099999999999</v>
      </c>
      <c r="N131" s="494">
        <v>164.09100000000001</v>
      </c>
      <c r="O131" s="494">
        <v>169.27799999999999</v>
      </c>
      <c r="P131" s="494">
        <v>174.11799999999999</v>
      </c>
      <c r="Q131" s="494">
        <v>180.10300000000001</v>
      </c>
      <c r="R131" s="494">
        <v>184.37899999999999</v>
      </c>
    </row>
    <row r="132" spans="2:18" ht="15.75" x14ac:dyDescent="0.25">
      <c r="B132" s="493">
        <v>130</v>
      </c>
      <c r="C132" s="494">
        <v>157.61000000000001</v>
      </c>
      <c r="D132" s="494">
        <v>170.423</v>
      </c>
      <c r="E132" s="494">
        <v>185.571</v>
      </c>
      <c r="F132" s="145"/>
      <c r="G132" s="493">
        <v>130</v>
      </c>
      <c r="H132" s="494">
        <v>92.221999999999994</v>
      </c>
      <c r="I132" s="494">
        <v>100.331</v>
      </c>
      <c r="J132" s="494">
        <v>143.34</v>
      </c>
      <c r="K132" s="494">
        <v>151.04499999999999</v>
      </c>
      <c r="L132" s="494">
        <v>157.61000000000001</v>
      </c>
      <c r="M132" s="494">
        <v>163.453</v>
      </c>
      <c r="N132" s="494">
        <v>165.21899999999999</v>
      </c>
      <c r="O132" s="494">
        <v>170.423</v>
      </c>
      <c r="P132" s="494">
        <v>175.27799999999999</v>
      </c>
      <c r="Q132" s="494">
        <v>181.28200000000001</v>
      </c>
      <c r="R132" s="494">
        <v>185.571</v>
      </c>
    </row>
    <row r="133" spans="2:18" ht="15.75" x14ac:dyDescent="0.25">
      <c r="B133" s="493">
        <v>131</v>
      </c>
      <c r="C133" s="494">
        <v>158.71199999999999</v>
      </c>
      <c r="D133" s="494">
        <v>171.56700000000001</v>
      </c>
      <c r="E133" s="494">
        <v>186.762</v>
      </c>
      <c r="F133" s="145"/>
      <c r="G133" s="493">
        <v>131</v>
      </c>
      <c r="H133" s="494">
        <v>93.063000000000002</v>
      </c>
      <c r="I133" s="494">
        <v>101.21</v>
      </c>
      <c r="J133" s="494">
        <v>144.392</v>
      </c>
      <c r="K133" s="494">
        <v>152.125</v>
      </c>
      <c r="L133" s="494">
        <v>158.71199999999999</v>
      </c>
      <c r="M133" s="494">
        <v>164.57499999999999</v>
      </c>
      <c r="N133" s="494">
        <v>166.346</v>
      </c>
      <c r="O133" s="494">
        <v>171.56700000000001</v>
      </c>
      <c r="P133" s="494">
        <v>176.43799999999999</v>
      </c>
      <c r="Q133" s="494">
        <v>182.46</v>
      </c>
      <c r="R133" s="494">
        <v>186.762</v>
      </c>
    </row>
    <row r="134" spans="2:18" ht="15.75" x14ac:dyDescent="0.25">
      <c r="B134" s="493">
        <v>132</v>
      </c>
      <c r="C134" s="494">
        <v>159.81399999999999</v>
      </c>
      <c r="D134" s="494">
        <v>172.71100000000001</v>
      </c>
      <c r="E134" s="494">
        <v>187.953</v>
      </c>
      <c r="F134" s="145"/>
      <c r="G134" s="493">
        <v>132</v>
      </c>
      <c r="H134" s="494">
        <v>93.903999999999996</v>
      </c>
      <c r="I134" s="494">
        <v>102.089</v>
      </c>
      <c r="J134" s="494">
        <v>145.44399999999999</v>
      </c>
      <c r="K134" s="494">
        <v>153.20400000000001</v>
      </c>
      <c r="L134" s="494">
        <v>159.81399999999999</v>
      </c>
      <c r="M134" s="494">
        <v>165.696</v>
      </c>
      <c r="N134" s="494">
        <v>167.47300000000001</v>
      </c>
      <c r="O134" s="494">
        <v>172.71100000000001</v>
      </c>
      <c r="P134" s="494">
        <v>177.59700000000001</v>
      </c>
      <c r="Q134" s="494">
        <v>183.637</v>
      </c>
      <c r="R134" s="494">
        <v>187.953</v>
      </c>
    </row>
    <row r="135" spans="2:18" ht="15.75" x14ac:dyDescent="0.25">
      <c r="B135" s="493">
        <v>133</v>
      </c>
      <c r="C135" s="494">
        <v>160.91499999999999</v>
      </c>
      <c r="D135" s="494">
        <v>173.85400000000001</v>
      </c>
      <c r="E135" s="494">
        <v>189.142</v>
      </c>
      <c r="F135" s="145"/>
      <c r="G135" s="493">
        <v>133</v>
      </c>
      <c r="H135" s="494">
        <v>94.745999999999995</v>
      </c>
      <c r="I135" s="494">
        <v>102.968</v>
      </c>
      <c r="J135" s="494">
        <v>146.49600000000001</v>
      </c>
      <c r="K135" s="494">
        <v>154.28299999999999</v>
      </c>
      <c r="L135" s="494">
        <v>160.91499999999999</v>
      </c>
      <c r="M135" s="494">
        <v>166.816</v>
      </c>
      <c r="N135" s="494">
        <v>168.6</v>
      </c>
      <c r="O135" s="494">
        <v>173.85400000000001</v>
      </c>
      <c r="P135" s="494">
        <v>178.755</v>
      </c>
      <c r="Q135" s="494">
        <v>184.81399999999999</v>
      </c>
      <c r="R135" s="494">
        <v>189.142</v>
      </c>
    </row>
    <row r="136" spans="2:18" ht="15.75" x14ac:dyDescent="0.25">
      <c r="B136" s="493">
        <v>134</v>
      </c>
      <c r="C136" s="494">
        <v>162.01599999999999</v>
      </c>
      <c r="D136" s="494">
        <v>174.99600000000001</v>
      </c>
      <c r="E136" s="494">
        <v>190.33099999999999</v>
      </c>
      <c r="F136" s="145"/>
      <c r="G136" s="493">
        <v>134</v>
      </c>
      <c r="H136" s="494">
        <v>95.587999999999994</v>
      </c>
      <c r="I136" s="494">
        <v>103.848</v>
      </c>
      <c r="J136" s="494">
        <v>147.548</v>
      </c>
      <c r="K136" s="494">
        <v>155.36099999999999</v>
      </c>
      <c r="L136" s="494">
        <v>162.01599999999999</v>
      </c>
      <c r="M136" s="494">
        <v>167.93600000000001</v>
      </c>
      <c r="N136" s="494">
        <v>169.72499999999999</v>
      </c>
      <c r="O136" s="494">
        <v>174.99600000000001</v>
      </c>
      <c r="P136" s="494">
        <v>179.91300000000001</v>
      </c>
      <c r="Q136" s="494">
        <v>185.99</v>
      </c>
      <c r="R136" s="494">
        <v>190.33099999999999</v>
      </c>
    </row>
    <row r="137" spans="2:18" ht="15.75" x14ac:dyDescent="0.25">
      <c r="B137" s="493">
        <v>135</v>
      </c>
      <c r="C137" s="494">
        <v>163.11600000000001</v>
      </c>
      <c r="D137" s="494">
        <v>176.13800000000001</v>
      </c>
      <c r="E137" s="494">
        <v>191.52</v>
      </c>
      <c r="F137" s="145"/>
      <c r="G137" s="493">
        <v>135</v>
      </c>
      <c r="H137" s="494">
        <v>96.430999999999997</v>
      </c>
      <c r="I137" s="494">
        <v>104.729</v>
      </c>
      <c r="J137" s="494">
        <v>148.59899999999999</v>
      </c>
      <c r="K137" s="494">
        <v>156.44</v>
      </c>
      <c r="L137" s="494">
        <v>163.11600000000001</v>
      </c>
      <c r="M137" s="494">
        <v>169.05600000000001</v>
      </c>
      <c r="N137" s="494">
        <v>170.851</v>
      </c>
      <c r="O137" s="494">
        <v>176.13800000000001</v>
      </c>
      <c r="P137" s="494">
        <v>181.07</v>
      </c>
      <c r="Q137" s="494">
        <v>187.16499999999999</v>
      </c>
      <c r="R137" s="494">
        <v>191.52</v>
      </c>
    </row>
    <row r="138" spans="2:18" ht="15.75" x14ac:dyDescent="0.25">
      <c r="B138" s="493">
        <v>136</v>
      </c>
      <c r="C138" s="494">
        <v>164.21600000000001</v>
      </c>
      <c r="D138" s="494">
        <v>177.28</v>
      </c>
      <c r="E138" s="494">
        <v>192.70699999999999</v>
      </c>
      <c r="F138" s="145"/>
      <c r="G138" s="493">
        <v>136</v>
      </c>
      <c r="H138" s="494">
        <v>97.275000000000006</v>
      </c>
      <c r="I138" s="494">
        <v>105.60899999999999</v>
      </c>
      <c r="J138" s="494">
        <v>149.65100000000001</v>
      </c>
      <c r="K138" s="494">
        <v>157.518</v>
      </c>
      <c r="L138" s="494">
        <v>164.21600000000001</v>
      </c>
      <c r="M138" s="494">
        <v>170.17500000000001</v>
      </c>
      <c r="N138" s="494">
        <v>171.976</v>
      </c>
      <c r="O138" s="494">
        <v>177.28</v>
      </c>
      <c r="P138" s="494">
        <v>182.226</v>
      </c>
      <c r="Q138" s="494">
        <v>188.34</v>
      </c>
      <c r="R138" s="494">
        <v>192.70699999999999</v>
      </c>
    </row>
    <row r="139" spans="2:18" ht="15.75" x14ac:dyDescent="0.25">
      <c r="B139" s="493">
        <v>137</v>
      </c>
      <c r="C139" s="494">
        <v>165.316</v>
      </c>
      <c r="D139" s="494">
        <v>178.42099999999999</v>
      </c>
      <c r="E139" s="494">
        <v>193.89400000000001</v>
      </c>
      <c r="F139" s="145"/>
      <c r="G139" s="493">
        <v>137</v>
      </c>
      <c r="H139" s="494">
        <v>98.119</v>
      </c>
      <c r="I139" s="494">
        <v>106.491</v>
      </c>
      <c r="J139" s="494">
        <v>150.702</v>
      </c>
      <c r="K139" s="494">
        <v>158.595</v>
      </c>
      <c r="L139" s="494">
        <v>165.316</v>
      </c>
      <c r="M139" s="494">
        <v>171.29400000000001</v>
      </c>
      <c r="N139" s="494">
        <v>173.1</v>
      </c>
      <c r="O139" s="494">
        <v>178.42099999999999</v>
      </c>
      <c r="P139" s="494">
        <v>183.38200000000001</v>
      </c>
      <c r="Q139" s="494">
        <v>189.51400000000001</v>
      </c>
      <c r="R139" s="494">
        <v>193.89400000000001</v>
      </c>
    </row>
    <row r="140" spans="2:18" ht="15.75" x14ac:dyDescent="0.25">
      <c r="B140" s="493">
        <v>138</v>
      </c>
      <c r="C140" s="494">
        <v>166.41499999999999</v>
      </c>
      <c r="D140" s="494">
        <v>179.56100000000001</v>
      </c>
      <c r="E140" s="494">
        <v>195.08</v>
      </c>
      <c r="F140" s="145"/>
      <c r="G140" s="493">
        <v>138</v>
      </c>
      <c r="H140" s="494">
        <v>98.963999999999999</v>
      </c>
      <c r="I140" s="494">
        <v>107.372</v>
      </c>
      <c r="J140" s="494">
        <v>151.75299999999999</v>
      </c>
      <c r="K140" s="494">
        <v>159.673</v>
      </c>
      <c r="L140" s="494">
        <v>166.41499999999999</v>
      </c>
      <c r="M140" s="494">
        <v>172.41200000000001</v>
      </c>
      <c r="N140" s="494">
        <v>174.22399999999999</v>
      </c>
      <c r="O140" s="494">
        <v>179.56100000000001</v>
      </c>
      <c r="P140" s="494">
        <v>184.53800000000001</v>
      </c>
      <c r="Q140" s="494">
        <v>190.68799999999999</v>
      </c>
      <c r="R140" s="494">
        <v>195.08</v>
      </c>
    </row>
    <row r="141" spans="2:18" ht="15.75" x14ac:dyDescent="0.25">
      <c r="B141" s="493">
        <v>139</v>
      </c>
      <c r="C141" s="494">
        <v>167.51400000000001</v>
      </c>
      <c r="D141" s="494">
        <v>180.70099999999999</v>
      </c>
      <c r="E141" s="494">
        <v>196.26599999999999</v>
      </c>
      <c r="F141" s="145"/>
      <c r="G141" s="493">
        <v>139</v>
      </c>
      <c r="H141" s="494">
        <v>99.808999999999997</v>
      </c>
      <c r="I141" s="494">
        <v>108.254</v>
      </c>
      <c r="J141" s="494">
        <v>152.803</v>
      </c>
      <c r="K141" s="494">
        <v>160.75</v>
      </c>
      <c r="L141" s="494">
        <v>167.51400000000001</v>
      </c>
      <c r="M141" s="494">
        <v>173.53</v>
      </c>
      <c r="N141" s="494">
        <v>175.34800000000001</v>
      </c>
      <c r="O141" s="494">
        <v>180.70099999999999</v>
      </c>
      <c r="P141" s="494">
        <v>185.69300000000001</v>
      </c>
      <c r="Q141" s="494">
        <v>191.86099999999999</v>
      </c>
      <c r="R141" s="494">
        <v>196.26599999999999</v>
      </c>
    </row>
    <row r="142" spans="2:18" ht="15.75" x14ac:dyDescent="0.25">
      <c r="B142" s="493">
        <v>140</v>
      </c>
      <c r="C142" s="494">
        <v>168.613</v>
      </c>
      <c r="D142" s="494">
        <v>181.84</v>
      </c>
      <c r="E142" s="494">
        <v>197.45099999999999</v>
      </c>
      <c r="F142" s="145"/>
      <c r="G142" s="493">
        <v>140</v>
      </c>
      <c r="H142" s="494">
        <v>100.655</v>
      </c>
      <c r="I142" s="494">
        <v>109.137</v>
      </c>
      <c r="J142" s="494">
        <v>153.85400000000001</v>
      </c>
      <c r="K142" s="494">
        <v>161.827</v>
      </c>
      <c r="L142" s="494">
        <v>168.613</v>
      </c>
      <c r="M142" s="494">
        <v>174.648</v>
      </c>
      <c r="N142" s="494">
        <v>176.471</v>
      </c>
      <c r="O142" s="494">
        <v>181.84</v>
      </c>
      <c r="P142" s="494">
        <v>186.84700000000001</v>
      </c>
      <c r="Q142" s="494">
        <v>193.03299999999999</v>
      </c>
      <c r="R142" s="494">
        <v>197.45099999999999</v>
      </c>
    </row>
    <row r="143" spans="2:18" ht="15.75" x14ac:dyDescent="0.25">
      <c r="B143" s="493">
        <v>141</v>
      </c>
      <c r="C143" s="494">
        <v>169.71100000000001</v>
      </c>
      <c r="D143" s="494">
        <v>182.97900000000001</v>
      </c>
      <c r="E143" s="494">
        <v>198.63499999999999</v>
      </c>
      <c r="F143" s="145"/>
      <c r="G143" s="493">
        <v>141</v>
      </c>
      <c r="H143" s="494">
        <v>101.501</v>
      </c>
      <c r="I143" s="494">
        <v>110.02</v>
      </c>
      <c r="J143" s="494">
        <v>154.904</v>
      </c>
      <c r="K143" s="494">
        <v>162.904</v>
      </c>
      <c r="L143" s="494">
        <v>169.71100000000001</v>
      </c>
      <c r="M143" s="494">
        <v>175.76499999999999</v>
      </c>
      <c r="N143" s="494">
        <v>177.59399999999999</v>
      </c>
      <c r="O143" s="494">
        <v>182.97900000000001</v>
      </c>
      <c r="P143" s="494">
        <v>188.001</v>
      </c>
      <c r="Q143" s="494">
        <v>194.20500000000001</v>
      </c>
      <c r="R143" s="494">
        <v>198.63499999999999</v>
      </c>
    </row>
    <row r="144" spans="2:18" ht="15.75" x14ac:dyDescent="0.25">
      <c r="B144" s="493">
        <v>142</v>
      </c>
      <c r="C144" s="494">
        <v>170.809</v>
      </c>
      <c r="D144" s="494">
        <v>184.11799999999999</v>
      </c>
      <c r="E144" s="494">
        <v>199.81899999999999</v>
      </c>
      <c r="F144" s="145"/>
      <c r="G144" s="493">
        <v>142</v>
      </c>
      <c r="H144" s="494">
        <v>102.348</v>
      </c>
      <c r="I144" s="494">
        <v>110.90300000000001</v>
      </c>
      <c r="J144" s="494">
        <v>155.95400000000001</v>
      </c>
      <c r="K144" s="494">
        <v>163.98</v>
      </c>
      <c r="L144" s="494">
        <v>170.809</v>
      </c>
      <c r="M144" s="494">
        <v>176.88200000000001</v>
      </c>
      <c r="N144" s="494">
        <v>178.71600000000001</v>
      </c>
      <c r="O144" s="494">
        <v>184.11799999999999</v>
      </c>
      <c r="P144" s="494">
        <v>189.154</v>
      </c>
      <c r="Q144" s="494">
        <v>195.376</v>
      </c>
      <c r="R144" s="494">
        <v>199.81899999999999</v>
      </c>
    </row>
    <row r="145" spans="2:18" ht="15.75" x14ac:dyDescent="0.25">
      <c r="B145" s="493">
        <v>143</v>
      </c>
      <c r="C145" s="494">
        <v>171.90700000000001</v>
      </c>
      <c r="D145" s="494">
        <v>185.256</v>
      </c>
      <c r="E145" s="494">
        <v>201.00200000000001</v>
      </c>
      <c r="F145" s="145"/>
      <c r="G145" s="493">
        <v>143</v>
      </c>
      <c r="H145" s="494">
        <v>103.196</v>
      </c>
      <c r="I145" s="494">
        <v>111.78700000000001</v>
      </c>
      <c r="J145" s="494">
        <v>157.00399999999999</v>
      </c>
      <c r="K145" s="494">
        <v>165.05600000000001</v>
      </c>
      <c r="L145" s="494">
        <v>171.90700000000001</v>
      </c>
      <c r="M145" s="494">
        <v>177.99799999999999</v>
      </c>
      <c r="N145" s="494">
        <v>179.83799999999999</v>
      </c>
      <c r="O145" s="494">
        <v>185.256</v>
      </c>
      <c r="P145" s="494">
        <v>190.30600000000001</v>
      </c>
      <c r="Q145" s="494">
        <v>196.54599999999999</v>
      </c>
      <c r="R145" s="494">
        <v>201.00200000000001</v>
      </c>
    </row>
    <row r="146" spans="2:18" ht="15.75" x14ac:dyDescent="0.25">
      <c r="B146" s="493">
        <v>144</v>
      </c>
      <c r="C146" s="494">
        <v>173.00399999999999</v>
      </c>
      <c r="D146" s="494">
        <v>186.393</v>
      </c>
      <c r="E146" s="494">
        <v>202.184</v>
      </c>
      <c r="F146" s="145"/>
      <c r="G146" s="493">
        <v>144</v>
      </c>
      <c r="H146" s="494">
        <v>104.044</v>
      </c>
      <c r="I146" s="494">
        <v>112.67100000000001</v>
      </c>
      <c r="J146" s="494">
        <v>158.054</v>
      </c>
      <c r="K146" s="494">
        <v>166.13200000000001</v>
      </c>
      <c r="L146" s="494">
        <v>173.00399999999999</v>
      </c>
      <c r="M146" s="494">
        <v>179.114</v>
      </c>
      <c r="N146" s="494">
        <v>180.959</v>
      </c>
      <c r="O146" s="494">
        <v>186.393</v>
      </c>
      <c r="P146" s="494">
        <v>191.458</v>
      </c>
      <c r="Q146" s="494">
        <v>197.71600000000001</v>
      </c>
      <c r="R146" s="494">
        <v>202.184</v>
      </c>
    </row>
    <row r="147" spans="2:18" ht="15.75" x14ac:dyDescent="0.25">
      <c r="B147" s="493">
        <v>145</v>
      </c>
      <c r="C147" s="494">
        <v>174.101</v>
      </c>
      <c r="D147" s="494">
        <v>187.53</v>
      </c>
      <c r="E147" s="494">
        <v>203.36600000000001</v>
      </c>
      <c r="F147" s="145"/>
      <c r="G147" s="493">
        <v>145</v>
      </c>
      <c r="H147" s="494">
        <v>104.892</v>
      </c>
      <c r="I147" s="494">
        <v>113.556</v>
      </c>
      <c r="J147" s="494">
        <v>159.10400000000001</v>
      </c>
      <c r="K147" s="494">
        <v>167.20699999999999</v>
      </c>
      <c r="L147" s="494">
        <v>174.101</v>
      </c>
      <c r="M147" s="494">
        <v>180.22900000000001</v>
      </c>
      <c r="N147" s="494">
        <v>182.08</v>
      </c>
      <c r="O147" s="494">
        <v>187.53</v>
      </c>
      <c r="P147" s="494">
        <v>192.61</v>
      </c>
      <c r="Q147" s="494">
        <v>198.88499999999999</v>
      </c>
      <c r="R147" s="494">
        <v>203.36600000000001</v>
      </c>
    </row>
    <row r="148" spans="2:18" ht="15.75" x14ac:dyDescent="0.25">
      <c r="B148" s="493">
        <v>146</v>
      </c>
      <c r="C148" s="494">
        <v>175.19800000000001</v>
      </c>
      <c r="D148" s="494">
        <v>188.666</v>
      </c>
      <c r="E148" s="494">
        <v>204.547</v>
      </c>
      <c r="F148" s="145"/>
      <c r="G148" s="493">
        <v>146</v>
      </c>
      <c r="H148" s="494">
        <v>105.741</v>
      </c>
      <c r="I148" s="494">
        <v>114.441</v>
      </c>
      <c r="J148" s="494">
        <v>160.15299999999999</v>
      </c>
      <c r="K148" s="494">
        <v>168.28299999999999</v>
      </c>
      <c r="L148" s="494">
        <v>175.19800000000001</v>
      </c>
      <c r="M148" s="494">
        <v>181.34399999999999</v>
      </c>
      <c r="N148" s="494">
        <v>183.2</v>
      </c>
      <c r="O148" s="494">
        <v>188.666</v>
      </c>
      <c r="P148" s="494">
        <v>193.761</v>
      </c>
      <c r="Q148" s="494">
        <v>200.054</v>
      </c>
      <c r="R148" s="494">
        <v>204.547</v>
      </c>
    </row>
    <row r="149" spans="2:18" ht="15.75" x14ac:dyDescent="0.25">
      <c r="B149" s="493">
        <v>147</v>
      </c>
      <c r="C149" s="494">
        <v>176.29400000000001</v>
      </c>
      <c r="D149" s="494">
        <v>189.80199999999999</v>
      </c>
      <c r="E149" s="494">
        <v>205.727</v>
      </c>
      <c r="F149" s="145"/>
      <c r="G149" s="493">
        <v>147</v>
      </c>
      <c r="H149" s="494">
        <v>106.59099999999999</v>
      </c>
      <c r="I149" s="494">
        <v>115.32599999999999</v>
      </c>
      <c r="J149" s="494">
        <v>161.202</v>
      </c>
      <c r="K149" s="494">
        <v>169.358</v>
      </c>
      <c r="L149" s="494">
        <v>176.29400000000001</v>
      </c>
      <c r="M149" s="494">
        <v>182.459</v>
      </c>
      <c r="N149" s="494">
        <v>184.321</v>
      </c>
      <c r="O149" s="494">
        <v>189.80199999999999</v>
      </c>
      <c r="P149" s="494">
        <v>194.91200000000001</v>
      </c>
      <c r="Q149" s="494">
        <v>201.22200000000001</v>
      </c>
      <c r="R149" s="494">
        <v>205.727</v>
      </c>
    </row>
    <row r="150" spans="2:18" ht="15.75" x14ac:dyDescent="0.25">
      <c r="B150" s="493">
        <v>148</v>
      </c>
      <c r="C150" s="494">
        <v>177.39</v>
      </c>
      <c r="D150" s="494">
        <v>190.93799999999999</v>
      </c>
      <c r="E150" s="494">
        <v>206.90700000000001</v>
      </c>
      <c r="F150" s="145"/>
      <c r="G150" s="493">
        <v>148</v>
      </c>
      <c r="H150" s="494">
        <v>107.441</v>
      </c>
      <c r="I150" s="494">
        <v>116.212</v>
      </c>
      <c r="J150" s="494">
        <v>162.251</v>
      </c>
      <c r="K150" s="494">
        <v>170.43199999999999</v>
      </c>
      <c r="L150" s="494">
        <v>177.39</v>
      </c>
      <c r="M150" s="494">
        <v>183.57300000000001</v>
      </c>
      <c r="N150" s="494">
        <v>185.44</v>
      </c>
      <c r="O150" s="494">
        <v>190.93799999999999</v>
      </c>
      <c r="P150" s="494">
        <v>196.06200000000001</v>
      </c>
      <c r="Q150" s="494">
        <v>202.39</v>
      </c>
      <c r="R150" s="494">
        <v>206.90700000000001</v>
      </c>
    </row>
    <row r="151" spans="2:18" ht="15.75" x14ac:dyDescent="0.25">
      <c r="B151" s="493">
        <v>149</v>
      </c>
      <c r="C151" s="494">
        <v>178.48500000000001</v>
      </c>
      <c r="D151" s="494">
        <v>192.07300000000001</v>
      </c>
      <c r="E151" s="494">
        <v>208.08600000000001</v>
      </c>
      <c r="F151" s="145"/>
      <c r="G151" s="493">
        <v>149</v>
      </c>
      <c r="H151" s="494">
        <v>108.291</v>
      </c>
      <c r="I151" s="494">
        <v>117.098</v>
      </c>
      <c r="J151" s="494">
        <v>163.30000000000001</v>
      </c>
      <c r="K151" s="494">
        <v>171.50700000000001</v>
      </c>
      <c r="L151" s="494">
        <v>178.48500000000001</v>
      </c>
      <c r="M151" s="494">
        <v>184.68700000000001</v>
      </c>
      <c r="N151" s="494">
        <v>186.56</v>
      </c>
      <c r="O151" s="494">
        <v>192.07300000000001</v>
      </c>
      <c r="P151" s="494">
        <v>197.21100000000001</v>
      </c>
      <c r="Q151" s="494">
        <v>203.55699999999999</v>
      </c>
      <c r="R151" s="494">
        <v>208.08600000000001</v>
      </c>
    </row>
    <row r="152" spans="2:18" ht="15.75" x14ac:dyDescent="0.25">
      <c r="B152" s="493">
        <v>150</v>
      </c>
      <c r="C152" s="494">
        <v>179.58099999999999</v>
      </c>
      <c r="D152" s="494">
        <v>193.208</v>
      </c>
      <c r="E152" s="494">
        <v>209.26499999999999</v>
      </c>
      <c r="F152" s="145"/>
      <c r="G152" s="493">
        <v>150</v>
      </c>
      <c r="H152" s="494">
        <v>109.142</v>
      </c>
      <c r="I152" s="494">
        <v>117.985</v>
      </c>
      <c r="J152" s="494">
        <v>164.34899999999999</v>
      </c>
      <c r="K152" s="494">
        <v>172.58099999999999</v>
      </c>
      <c r="L152" s="494">
        <v>179.58099999999999</v>
      </c>
      <c r="M152" s="494">
        <v>185.8</v>
      </c>
      <c r="N152" s="494">
        <v>187.678</v>
      </c>
      <c r="O152" s="494">
        <v>193.208</v>
      </c>
      <c r="P152" s="494">
        <v>198.36</v>
      </c>
      <c r="Q152" s="494">
        <v>204.72300000000001</v>
      </c>
      <c r="R152" s="494">
        <v>209.26499999999999</v>
      </c>
    </row>
    <row r="153" spans="2:18" ht="15.75" x14ac:dyDescent="0.25">
      <c r="B153" s="493">
        <v>151</v>
      </c>
      <c r="C153" s="494">
        <v>180.67599999999999</v>
      </c>
      <c r="D153" s="494">
        <v>194.34200000000001</v>
      </c>
      <c r="E153" s="494">
        <v>210.44300000000001</v>
      </c>
      <c r="F153" s="145"/>
      <c r="G153" s="493">
        <v>151</v>
      </c>
      <c r="H153" s="494">
        <v>109.994</v>
      </c>
      <c r="I153" s="494">
        <v>118.871</v>
      </c>
      <c r="J153" s="494">
        <v>165.398</v>
      </c>
      <c r="K153" s="494">
        <v>173.655</v>
      </c>
      <c r="L153" s="494">
        <v>180.67599999999999</v>
      </c>
      <c r="M153" s="494">
        <v>186.91399999999999</v>
      </c>
      <c r="N153" s="494">
        <v>188.797</v>
      </c>
      <c r="O153" s="494">
        <v>194.34200000000001</v>
      </c>
      <c r="P153" s="494">
        <v>199.50899999999999</v>
      </c>
      <c r="Q153" s="494">
        <v>205.88900000000001</v>
      </c>
      <c r="R153" s="494">
        <v>210.44300000000001</v>
      </c>
    </row>
    <row r="154" spans="2:18" ht="15.75" x14ac:dyDescent="0.25">
      <c r="B154" s="493">
        <v>152</v>
      </c>
      <c r="C154" s="494">
        <v>181.77</v>
      </c>
      <c r="D154" s="494">
        <v>195.476</v>
      </c>
      <c r="E154" s="494">
        <v>211.62</v>
      </c>
      <c r="F154" s="145"/>
      <c r="G154" s="493">
        <v>152</v>
      </c>
      <c r="H154" s="494">
        <v>110.846</v>
      </c>
      <c r="I154" s="494">
        <v>119.759</v>
      </c>
      <c r="J154" s="494">
        <v>166.446</v>
      </c>
      <c r="K154" s="494">
        <v>174.72900000000001</v>
      </c>
      <c r="L154" s="494">
        <v>181.77</v>
      </c>
      <c r="M154" s="494">
        <v>188.02600000000001</v>
      </c>
      <c r="N154" s="494">
        <v>189.91499999999999</v>
      </c>
      <c r="O154" s="494">
        <v>195.476</v>
      </c>
      <c r="P154" s="494">
        <v>200.65700000000001</v>
      </c>
      <c r="Q154" s="494">
        <v>207.054</v>
      </c>
      <c r="R154" s="494">
        <v>211.62</v>
      </c>
    </row>
    <row r="155" spans="2:18" ht="15.75" x14ac:dyDescent="0.25">
      <c r="B155" s="493">
        <v>153</v>
      </c>
      <c r="C155" s="494">
        <v>182.86500000000001</v>
      </c>
      <c r="D155" s="494">
        <v>196.60900000000001</v>
      </c>
      <c r="E155" s="494">
        <v>212.797</v>
      </c>
      <c r="F155" s="145"/>
      <c r="G155" s="493">
        <v>153</v>
      </c>
      <c r="H155" s="494">
        <v>111.69799999999999</v>
      </c>
      <c r="I155" s="494">
        <v>120.646</v>
      </c>
      <c r="J155" s="494">
        <v>167.495</v>
      </c>
      <c r="K155" s="494">
        <v>175.803</v>
      </c>
      <c r="L155" s="494">
        <v>182.86500000000001</v>
      </c>
      <c r="M155" s="494">
        <v>189.13900000000001</v>
      </c>
      <c r="N155" s="494">
        <v>191.03299999999999</v>
      </c>
      <c r="O155" s="494">
        <v>196.60900000000001</v>
      </c>
      <c r="P155" s="494">
        <v>201.804</v>
      </c>
      <c r="Q155" s="494">
        <v>208.21899999999999</v>
      </c>
      <c r="R155" s="494">
        <v>212.797</v>
      </c>
    </row>
    <row r="156" spans="2:18" ht="15.75" x14ac:dyDescent="0.25">
      <c r="B156" s="493">
        <v>154</v>
      </c>
      <c r="C156" s="494">
        <v>183.959</v>
      </c>
      <c r="D156" s="494">
        <v>197.74199999999999</v>
      </c>
      <c r="E156" s="494">
        <v>213.97300000000001</v>
      </c>
      <c r="F156" s="145"/>
      <c r="G156" s="493">
        <v>154</v>
      </c>
      <c r="H156" s="494">
        <v>112.551</v>
      </c>
      <c r="I156" s="494">
        <v>121.53400000000001</v>
      </c>
      <c r="J156" s="494">
        <v>168.54300000000001</v>
      </c>
      <c r="K156" s="494">
        <v>176.876</v>
      </c>
      <c r="L156" s="494">
        <v>183.959</v>
      </c>
      <c r="M156" s="494">
        <v>190.251</v>
      </c>
      <c r="N156" s="494">
        <v>192.15</v>
      </c>
      <c r="O156" s="494">
        <v>197.74199999999999</v>
      </c>
      <c r="P156" s="494">
        <v>202.95099999999999</v>
      </c>
      <c r="Q156" s="494">
        <v>209.38300000000001</v>
      </c>
      <c r="R156" s="494">
        <v>213.97300000000001</v>
      </c>
    </row>
    <row r="157" spans="2:18" ht="15.75" x14ac:dyDescent="0.25">
      <c r="B157" s="493">
        <v>155</v>
      </c>
      <c r="C157" s="494">
        <v>185.05199999999999</v>
      </c>
      <c r="D157" s="494">
        <v>198.874</v>
      </c>
      <c r="E157" s="494">
        <v>215.149</v>
      </c>
      <c r="F157" s="145"/>
      <c r="G157" s="493">
        <v>155</v>
      </c>
      <c r="H157" s="494">
        <v>113.405</v>
      </c>
      <c r="I157" s="494">
        <v>122.423</v>
      </c>
      <c r="J157" s="494">
        <v>169.59100000000001</v>
      </c>
      <c r="K157" s="494">
        <v>177.94900000000001</v>
      </c>
      <c r="L157" s="494">
        <v>185.05199999999999</v>
      </c>
      <c r="M157" s="494">
        <v>191.36199999999999</v>
      </c>
      <c r="N157" s="494">
        <v>193.267</v>
      </c>
      <c r="O157" s="494">
        <v>198.874</v>
      </c>
      <c r="P157" s="494">
        <v>204.09800000000001</v>
      </c>
      <c r="Q157" s="494">
        <v>210.547</v>
      </c>
      <c r="R157" s="494">
        <v>215.149</v>
      </c>
    </row>
    <row r="158" spans="2:18" ht="15.75" x14ac:dyDescent="0.25">
      <c r="B158" s="493">
        <v>156</v>
      </c>
      <c r="C158" s="494">
        <v>186.14599999999999</v>
      </c>
      <c r="D158" s="494">
        <v>200.006</v>
      </c>
      <c r="E158" s="494">
        <v>216.32400000000001</v>
      </c>
      <c r="F158" s="145"/>
      <c r="G158" s="493">
        <v>156</v>
      </c>
      <c r="H158" s="494">
        <v>114.259</v>
      </c>
      <c r="I158" s="494">
        <v>123.312</v>
      </c>
      <c r="J158" s="494">
        <v>170.63900000000001</v>
      </c>
      <c r="K158" s="494">
        <v>179.02199999999999</v>
      </c>
      <c r="L158" s="494">
        <v>186.14599999999999</v>
      </c>
      <c r="M158" s="494">
        <v>192.47399999999999</v>
      </c>
      <c r="N158" s="494">
        <v>194.38399999999999</v>
      </c>
      <c r="O158" s="494">
        <v>200.006</v>
      </c>
      <c r="P158" s="494">
        <v>205.244</v>
      </c>
      <c r="Q158" s="494">
        <v>211.71</v>
      </c>
      <c r="R158" s="494">
        <v>216.32400000000001</v>
      </c>
    </row>
    <row r="159" spans="2:18" ht="15.75" x14ac:dyDescent="0.25">
      <c r="B159" s="493">
        <v>157</v>
      </c>
      <c r="C159" s="494">
        <v>187.239</v>
      </c>
      <c r="D159" s="494">
        <v>201.13800000000001</v>
      </c>
      <c r="E159" s="494">
        <v>217.499</v>
      </c>
      <c r="F159" s="145"/>
      <c r="G159" s="493">
        <v>157</v>
      </c>
      <c r="H159" s="494">
        <v>115.113</v>
      </c>
      <c r="I159" s="494">
        <v>124.20099999999999</v>
      </c>
      <c r="J159" s="494">
        <v>171.68600000000001</v>
      </c>
      <c r="K159" s="494">
        <v>180.09399999999999</v>
      </c>
      <c r="L159" s="494">
        <v>187.239</v>
      </c>
      <c r="M159" s="494">
        <v>193.584</v>
      </c>
      <c r="N159" s="494">
        <v>195.5</v>
      </c>
      <c r="O159" s="494">
        <v>201.13800000000001</v>
      </c>
      <c r="P159" s="494">
        <v>206.39</v>
      </c>
      <c r="Q159" s="494">
        <v>212.87299999999999</v>
      </c>
      <c r="R159" s="494">
        <v>217.499</v>
      </c>
    </row>
    <row r="160" spans="2:18" ht="15.75" x14ac:dyDescent="0.25">
      <c r="B160" s="493">
        <v>158</v>
      </c>
      <c r="C160" s="494">
        <v>188.33199999999999</v>
      </c>
      <c r="D160" s="494">
        <v>202.26900000000001</v>
      </c>
      <c r="E160" s="494">
        <v>218.673</v>
      </c>
      <c r="F160" s="145"/>
      <c r="G160" s="493">
        <v>158</v>
      </c>
      <c r="H160" s="494">
        <v>115.968</v>
      </c>
      <c r="I160" s="494">
        <v>125.09</v>
      </c>
      <c r="J160" s="494">
        <v>172.73400000000001</v>
      </c>
      <c r="K160" s="494">
        <v>181.167</v>
      </c>
      <c r="L160" s="494">
        <v>188.33199999999999</v>
      </c>
      <c r="M160" s="494">
        <v>194.69499999999999</v>
      </c>
      <c r="N160" s="494">
        <v>196.61600000000001</v>
      </c>
      <c r="O160" s="494">
        <v>202.26900000000001</v>
      </c>
      <c r="P160" s="494">
        <v>207.535</v>
      </c>
      <c r="Q160" s="494">
        <v>214.035</v>
      </c>
      <c r="R160" s="494">
        <v>218.673</v>
      </c>
    </row>
    <row r="161" spans="2:18" ht="15.75" x14ac:dyDescent="0.25">
      <c r="B161" s="493">
        <v>159</v>
      </c>
      <c r="C161" s="494">
        <v>189.42400000000001</v>
      </c>
      <c r="D161" s="494">
        <v>203.4</v>
      </c>
      <c r="E161" s="494">
        <v>219.846</v>
      </c>
      <c r="F161" s="145"/>
      <c r="G161" s="493">
        <v>159</v>
      </c>
      <c r="H161" s="494">
        <v>116.82299999999999</v>
      </c>
      <c r="I161" s="494">
        <v>125.98</v>
      </c>
      <c r="J161" s="494">
        <v>173.78100000000001</v>
      </c>
      <c r="K161" s="494">
        <v>182.239</v>
      </c>
      <c r="L161" s="494">
        <v>189.42400000000001</v>
      </c>
      <c r="M161" s="494">
        <v>195.80500000000001</v>
      </c>
      <c r="N161" s="494">
        <v>197.73099999999999</v>
      </c>
      <c r="O161" s="494">
        <v>203.4</v>
      </c>
      <c r="P161" s="494">
        <v>208.68</v>
      </c>
      <c r="Q161" s="494">
        <v>215.197</v>
      </c>
      <c r="R161" s="494">
        <v>219.846</v>
      </c>
    </row>
    <row r="162" spans="2:18" ht="15.75" x14ac:dyDescent="0.25">
      <c r="B162" s="493">
        <v>160</v>
      </c>
      <c r="C162" s="494">
        <v>190.51599999999999</v>
      </c>
      <c r="D162" s="494">
        <v>204.53</v>
      </c>
      <c r="E162" s="494">
        <v>221.01900000000001</v>
      </c>
      <c r="F162" s="145"/>
      <c r="G162" s="493">
        <v>160</v>
      </c>
      <c r="H162" s="494">
        <v>117.679</v>
      </c>
      <c r="I162" s="494">
        <v>126.87</v>
      </c>
      <c r="J162" s="494">
        <v>174.828</v>
      </c>
      <c r="K162" s="494">
        <v>183.31100000000001</v>
      </c>
      <c r="L162" s="494">
        <v>190.51599999999999</v>
      </c>
      <c r="M162" s="494">
        <v>196.91499999999999</v>
      </c>
      <c r="N162" s="494">
        <v>198.846</v>
      </c>
      <c r="O162" s="494">
        <v>204.53</v>
      </c>
      <c r="P162" s="494">
        <v>209.82400000000001</v>
      </c>
      <c r="Q162" s="494">
        <v>216.358</v>
      </c>
      <c r="R162" s="494">
        <v>221.01900000000001</v>
      </c>
    </row>
    <row r="163" spans="2:18" ht="15.75" x14ac:dyDescent="0.25">
      <c r="B163" s="493">
        <v>161</v>
      </c>
      <c r="C163" s="494">
        <v>191.608</v>
      </c>
      <c r="D163" s="494">
        <v>205.66</v>
      </c>
      <c r="E163" s="494">
        <v>222.191</v>
      </c>
      <c r="F163" s="145"/>
      <c r="G163" s="493">
        <v>161</v>
      </c>
      <c r="H163" s="494">
        <v>118.536</v>
      </c>
      <c r="I163" s="494">
        <v>127.761</v>
      </c>
      <c r="J163" s="494">
        <v>175.875</v>
      </c>
      <c r="K163" s="494">
        <v>184.38200000000001</v>
      </c>
      <c r="L163" s="494">
        <v>191.608</v>
      </c>
      <c r="M163" s="494">
        <v>198.02500000000001</v>
      </c>
      <c r="N163" s="494">
        <v>199.96100000000001</v>
      </c>
      <c r="O163" s="494">
        <v>205.66</v>
      </c>
      <c r="P163" s="494">
        <v>210.96799999999999</v>
      </c>
      <c r="Q163" s="494">
        <v>217.518</v>
      </c>
      <c r="R163" s="494">
        <v>222.191</v>
      </c>
    </row>
    <row r="164" spans="2:18" ht="15.75" x14ac:dyDescent="0.25">
      <c r="B164" s="493">
        <v>162</v>
      </c>
      <c r="C164" s="494">
        <v>192.7</v>
      </c>
      <c r="D164" s="494">
        <v>206.79</v>
      </c>
      <c r="E164" s="494">
        <v>223.363</v>
      </c>
      <c r="F164" s="145"/>
      <c r="G164" s="493">
        <v>162</v>
      </c>
      <c r="H164" s="494">
        <v>119.392</v>
      </c>
      <c r="I164" s="494">
        <v>128.65100000000001</v>
      </c>
      <c r="J164" s="494">
        <v>176.922</v>
      </c>
      <c r="K164" s="494">
        <v>185.45400000000001</v>
      </c>
      <c r="L164" s="494">
        <v>192.7</v>
      </c>
      <c r="M164" s="494">
        <v>199.13399999999999</v>
      </c>
      <c r="N164" s="494">
        <v>201.07599999999999</v>
      </c>
      <c r="O164" s="494">
        <v>206.79</v>
      </c>
      <c r="P164" s="494">
        <v>212.11099999999999</v>
      </c>
      <c r="Q164" s="494">
        <v>218.678</v>
      </c>
      <c r="R164" s="494">
        <v>223.363</v>
      </c>
    </row>
    <row r="165" spans="2:18" ht="15.75" x14ac:dyDescent="0.25">
      <c r="B165" s="493">
        <v>163</v>
      </c>
      <c r="C165" s="494">
        <v>193.791</v>
      </c>
      <c r="D165" s="494">
        <v>207.91900000000001</v>
      </c>
      <c r="E165" s="494">
        <v>224.535</v>
      </c>
      <c r="F165" s="145"/>
      <c r="G165" s="493">
        <v>163</v>
      </c>
      <c r="H165" s="494">
        <v>120.249</v>
      </c>
      <c r="I165" s="494">
        <v>129.54300000000001</v>
      </c>
      <c r="J165" s="494">
        <v>177.96899999999999</v>
      </c>
      <c r="K165" s="494">
        <v>186.52500000000001</v>
      </c>
      <c r="L165" s="494">
        <v>193.791</v>
      </c>
      <c r="M165" s="494">
        <v>200.24299999999999</v>
      </c>
      <c r="N165" s="494">
        <v>202.19</v>
      </c>
      <c r="O165" s="494">
        <v>207.91900000000001</v>
      </c>
      <c r="P165" s="494">
        <v>213.25399999999999</v>
      </c>
      <c r="Q165" s="494">
        <v>219.83799999999999</v>
      </c>
      <c r="R165" s="494">
        <v>224.535</v>
      </c>
    </row>
    <row r="166" spans="2:18" ht="15.75" x14ac:dyDescent="0.25">
      <c r="B166" s="493">
        <v>164</v>
      </c>
      <c r="C166" s="494">
        <v>194.88300000000001</v>
      </c>
      <c r="D166" s="494">
        <v>209.047</v>
      </c>
      <c r="E166" s="494">
        <v>225.70500000000001</v>
      </c>
      <c r="F166" s="145"/>
      <c r="G166" s="493">
        <v>164</v>
      </c>
      <c r="H166" s="494">
        <v>121.107</v>
      </c>
      <c r="I166" s="494">
        <v>130.434</v>
      </c>
      <c r="J166" s="494">
        <v>179.01599999999999</v>
      </c>
      <c r="K166" s="494">
        <v>187.596</v>
      </c>
      <c r="L166" s="494">
        <v>194.88300000000001</v>
      </c>
      <c r="M166" s="494">
        <v>201.351</v>
      </c>
      <c r="N166" s="494">
        <v>203.303</v>
      </c>
      <c r="O166" s="494">
        <v>209.047</v>
      </c>
      <c r="P166" s="494">
        <v>214.39599999999999</v>
      </c>
      <c r="Q166" s="494">
        <v>220.99700000000001</v>
      </c>
      <c r="R166" s="494">
        <v>225.70500000000001</v>
      </c>
    </row>
    <row r="167" spans="2:18" ht="15.75" x14ac:dyDescent="0.25">
      <c r="B167" s="493">
        <v>165</v>
      </c>
      <c r="C167" s="494">
        <v>195.97300000000001</v>
      </c>
      <c r="D167" s="494">
        <v>210.17599999999999</v>
      </c>
      <c r="E167" s="494">
        <v>226.876</v>
      </c>
      <c r="F167" s="145"/>
      <c r="G167" s="493">
        <v>165</v>
      </c>
      <c r="H167" s="494">
        <v>121.965</v>
      </c>
      <c r="I167" s="494">
        <v>131.32599999999999</v>
      </c>
      <c r="J167" s="494">
        <v>180.06200000000001</v>
      </c>
      <c r="K167" s="494">
        <v>188.667</v>
      </c>
      <c r="L167" s="494">
        <v>195.97300000000001</v>
      </c>
      <c r="M167" s="494">
        <v>202.459</v>
      </c>
      <c r="N167" s="494">
        <v>204.417</v>
      </c>
      <c r="O167" s="494">
        <v>210.17599999999999</v>
      </c>
      <c r="P167" s="494">
        <v>215.53899999999999</v>
      </c>
      <c r="Q167" s="494">
        <v>222.15600000000001</v>
      </c>
      <c r="R167" s="494">
        <v>226.876</v>
      </c>
    </row>
    <row r="168" spans="2:18" ht="15.75" x14ac:dyDescent="0.25">
      <c r="B168" s="493">
        <v>166</v>
      </c>
      <c r="C168" s="494">
        <v>197.06399999999999</v>
      </c>
      <c r="D168" s="494">
        <v>211.304</v>
      </c>
      <c r="E168" s="494">
        <v>228.04499999999999</v>
      </c>
      <c r="F168" s="145"/>
      <c r="G168" s="493">
        <v>166</v>
      </c>
      <c r="H168" s="494">
        <v>122.82299999999999</v>
      </c>
      <c r="I168" s="494">
        <v>132.21799999999999</v>
      </c>
      <c r="J168" s="494">
        <v>181.10900000000001</v>
      </c>
      <c r="K168" s="494">
        <v>189.73699999999999</v>
      </c>
      <c r="L168" s="494">
        <v>197.06399999999999</v>
      </c>
      <c r="M168" s="494">
        <v>203.56700000000001</v>
      </c>
      <c r="N168" s="494">
        <v>205.53</v>
      </c>
      <c r="O168" s="494">
        <v>211.304</v>
      </c>
      <c r="P168" s="494">
        <v>216.68</v>
      </c>
      <c r="Q168" s="494">
        <v>223.31399999999999</v>
      </c>
      <c r="R168" s="494">
        <v>228.04499999999999</v>
      </c>
    </row>
    <row r="169" spans="2:18" ht="15.75" x14ac:dyDescent="0.25">
      <c r="B169" s="493">
        <v>167</v>
      </c>
      <c r="C169" s="494">
        <v>198.154</v>
      </c>
      <c r="D169" s="494">
        <v>212.43100000000001</v>
      </c>
      <c r="E169" s="494">
        <v>229.215</v>
      </c>
      <c r="F169" s="145"/>
      <c r="G169" s="493">
        <v>167</v>
      </c>
      <c r="H169" s="494">
        <v>123.682</v>
      </c>
      <c r="I169" s="494">
        <v>133.11099999999999</v>
      </c>
      <c r="J169" s="494">
        <v>182.155</v>
      </c>
      <c r="K169" s="494">
        <v>190.80799999999999</v>
      </c>
      <c r="L169" s="494">
        <v>198.154</v>
      </c>
      <c r="M169" s="494">
        <v>204.67500000000001</v>
      </c>
      <c r="N169" s="494">
        <v>206.642</v>
      </c>
      <c r="O169" s="494">
        <v>212.43100000000001</v>
      </c>
      <c r="P169" s="494">
        <v>217.821</v>
      </c>
      <c r="Q169" s="494">
        <v>224.47200000000001</v>
      </c>
      <c r="R169" s="494">
        <v>229.215</v>
      </c>
    </row>
    <row r="170" spans="2:18" ht="15.75" x14ac:dyDescent="0.25">
      <c r="B170" s="493">
        <v>168</v>
      </c>
      <c r="C170" s="494">
        <v>199.244</v>
      </c>
      <c r="D170" s="494">
        <v>213.55799999999999</v>
      </c>
      <c r="E170" s="494">
        <v>230.38300000000001</v>
      </c>
      <c r="F170" s="145"/>
      <c r="G170" s="493">
        <v>168</v>
      </c>
      <c r="H170" s="494">
        <v>124.541</v>
      </c>
      <c r="I170" s="494">
        <v>134.00299999999999</v>
      </c>
      <c r="J170" s="494">
        <v>183.20099999999999</v>
      </c>
      <c r="K170" s="494">
        <v>191.87799999999999</v>
      </c>
      <c r="L170" s="494">
        <v>199.244</v>
      </c>
      <c r="M170" s="494">
        <v>205.78200000000001</v>
      </c>
      <c r="N170" s="494">
        <v>207.755</v>
      </c>
      <c r="O170" s="494">
        <v>213.55799999999999</v>
      </c>
      <c r="P170" s="494">
        <v>218.96199999999999</v>
      </c>
      <c r="Q170" s="494">
        <v>225.62899999999999</v>
      </c>
      <c r="R170" s="494">
        <v>230.38300000000001</v>
      </c>
    </row>
    <row r="171" spans="2:18" ht="15.75" x14ac:dyDescent="0.25">
      <c r="B171" s="493">
        <v>169</v>
      </c>
      <c r="C171" s="494">
        <v>200.334</v>
      </c>
      <c r="D171" s="494">
        <v>214.685</v>
      </c>
      <c r="E171" s="494">
        <v>231.55199999999999</v>
      </c>
      <c r="F171" s="145"/>
      <c r="G171" s="493">
        <v>169</v>
      </c>
      <c r="H171" s="494">
        <v>125.401</v>
      </c>
      <c r="I171" s="494">
        <v>134.89699999999999</v>
      </c>
      <c r="J171" s="494">
        <v>184.24700000000001</v>
      </c>
      <c r="K171" s="494">
        <v>192.94800000000001</v>
      </c>
      <c r="L171" s="494">
        <v>200.334</v>
      </c>
      <c r="M171" s="494">
        <v>206.88900000000001</v>
      </c>
      <c r="N171" s="494">
        <v>208.86699999999999</v>
      </c>
      <c r="O171" s="494">
        <v>214.685</v>
      </c>
      <c r="P171" s="494">
        <v>220.102</v>
      </c>
      <c r="Q171" s="494">
        <v>226.786</v>
      </c>
      <c r="R171" s="494">
        <v>231.55199999999999</v>
      </c>
    </row>
    <row r="172" spans="2:18" ht="15.75" x14ac:dyDescent="0.25">
      <c r="B172" s="493">
        <v>170</v>
      </c>
      <c r="C172" s="494">
        <v>201.423</v>
      </c>
      <c r="D172" s="494">
        <v>215.81200000000001</v>
      </c>
      <c r="E172" s="494">
        <v>232.71899999999999</v>
      </c>
      <c r="F172" s="145"/>
      <c r="G172" s="493">
        <v>170</v>
      </c>
      <c r="H172" s="494">
        <v>126.261</v>
      </c>
      <c r="I172" s="494">
        <v>135.79</v>
      </c>
      <c r="J172" s="494">
        <v>185.29300000000001</v>
      </c>
      <c r="K172" s="494">
        <v>194.017</v>
      </c>
      <c r="L172" s="494">
        <v>201.423</v>
      </c>
      <c r="M172" s="494">
        <v>207.995</v>
      </c>
      <c r="N172" s="494">
        <v>209.97800000000001</v>
      </c>
      <c r="O172" s="494">
        <v>215.81200000000001</v>
      </c>
      <c r="P172" s="494">
        <v>221.24199999999999</v>
      </c>
      <c r="Q172" s="494">
        <v>227.94200000000001</v>
      </c>
      <c r="R172" s="494">
        <v>232.71899999999999</v>
      </c>
    </row>
    <row r="173" spans="2:18" ht="15.75" x14ac:dyDescent="0.25">
      <c r="B173" s="493">
        <v>171</v>
      </c>
      <c r="C173" s="494">
        <v>202.51300000000001</v>
      </c>
      <c r="D173" s="494">
        <v>216.93799999999999</v>
      </c>
      <c r="E173" s="494">
        <v>233.887</v>
      </c>
      <c r="F173" s="145"/>
      <c r="G173" s="493">
        <v>171</v>
      </c>
      <c r="H173" s="494">
        <v>127.122</v>
      </c>
      <c r="I173" s="494">
        <v>136.684</v>
      </c>
      <c r="J173" s="494">
        <v>186.33799999999999</v>
      </c>
      <c r="K173" s="494">
        <v>195.08699999999999</v>
      </c>
      <c r="L173" s="494">
        <v>202.51300000000001</v>
      </c>
      <c r="M173" s="494">
        <v>209.102</v>
      </c>
      <c r="N173" s="494">
        <v>211.09</v>
      </c>
      <c r="O173" s="494">
        <v>216.93799999999999</v>
      </c>
      <c r="P173" s="494">
        <v>222.38200000000001</v>
      </c>
      <c r="Q173" s="494">
        <v>229.09800000000001</v>
      </c>
      <c r="R173" s="494">
        <v>233.887</v>
      </c>
    </row>
    <row r="174" spans="2:18" ht="15.75" x14ac:dyDescent="0.25">
      <c r="B174" s="493">
        <v>172</v>
      </c>
      <c r="C174" s="494">
        <v>203.602</v>
      </c>
      <c r="D174" s="494">
        <v>218.06299999999999</v>
      </c>
      <c r="E174" s="494">
        <v>235.053</v>
      </c>
      <c r="F174" s="145"/>
      <c r="G174" s="493">
        <v>172</v>
      </c>
      <c r="H174" s="494">
        <v>127.983</v>
      </c>
      <c r="I174" s="494">
        <v>137.578</v>
      </c>
      <c r="J174" s="494">
        <v>187.38399999999999</v>
      </c>
      <c r="K174" s="494">
        <v>196.15600000000001</v>
      </c>
      <c r="L174" s="494">
        <v>203.602</v>
      </c>
      <c r="M174" s="494">
        <v>210.208</v>
      </c>
      <c r="N174" s="494">
        <v>212.20099999999999</v>
      </c>
      <c r="O174" s="494">
        <v>218.06299999999999</v>
      </c>
      <c r="P174" s="494">
        <v>223.52099999999999</v>
      </c>
      <c r="Q174" s="494">
        <v>230.25299999999999</v>
      </c>
      <c r="R174" s="494">
        <v>235.053</v>
      </c>
    </row>
    <row r="175" spans="2:18" ht="15.75" x14ac:dyDescent="0.25">
      <c r="B175" s="493">
        <v>173</v>
      </c>
      <c r="C175" s="494">
        <v>204.69</v>
      </c>
      <c r="D175" s="494">
        <v>219.18899999999999</v>
      </c>
      <c r="E175" s="494">
        <v>236.22</v>
      </c>
      <c r="F175" s="145"/>
      <c r="G175" s="493">
        <v>173</v>
      </c>
      <c r="H175" s="494">
        <v>128.84399999999999</v>
      </c>
      <c r="I175" s="494">
        <v>138.47200000000001</v>
      </c>
      <c r="J175" s="494">
        <v>188.429</v>
      </c>
      <c r="K175" s="494">
        <v>197.22499999999999</v>
      </c>
      <c r="L175" s="494">
        <v>204.69</v>
      </c>
      <c r="M175" s="494">
        <v>211.31299999999999</v>
      </c>
      <c r="N175" s="494">
        <v>213.31100000000001</v>
      </c>
      <c r="O175" s="494">
        <v>219.18899999999999</v>
      </c>
      <c r="P175" s="494">
        <v>224.66</v>
      </c>
      <c r="Q175" s="494">
        <v>231.40799999999999</v>
      </c>
      <c r="R175" s="494">
        <v>236.22</v>
      </c>
    </row>
    <row r="176" spans="2:18" ht="15.75" x14ac:dyDescent="0.25">
      <c r="B176" s="493">
        <v>174</v>
      </c>
      <c r="C176" s="494">
        <v>205.779</v>
      </c>
      <c r="D176" s="494">
        <v>220.31399999999999</v>
      </c>
      <c r="E176" s="494">
        <v>237.38499999999999</v>
      </c>
      <c r="F176" s="145"/>
      <c r="G176" s="493">
        <v>174</v>
      </c>
      <c r="H176" s="494">
        <v>129.70599999999999</v>
      </c>
      <c r="I176" s="494">
        <v>139.36699999999999</v>
      </c>
      <c r="J176" s="494">
        <v>189.47499999999999</v>
      </c>
      <c r="K176" s="494">
        <v>198.29400000000001</v>
      </c>
      <c r="L176" s="494">
        <v>205.779</v>
      </c>
      <c r="M176" s="494">
        <v>212.41900000000001</v>
      </c>
      <c r="N176" s="494">
        <v>214.422</v>
      </c>
      <c r="O176" s="494">
        <v>220.31399999999999</v>
      </c>
      <c r="P176" s="494">
        <v>225.798</v>
      </c>
      <c r="Q176" s="494">
        <v>232.56299999999999</v>
      </c>
      <c r="R176" s="494">
        <v>237.38499999999999</v>
      </c>
    </row>
    <row r="177" spans="2:18" ht="15.75" x14ac:dyDescent="0.25">
      <c r="B177" s="493">
        <v>175</v>
      </c>
      <c r="C177" s="494">
        <v>206.86699999999999</v>
      </c>
      <c r="D177" s="494">
        <v>221.43799999999999</v>
      </c>
      <c r="E177" s="494">
        <v>238.55099999999999</v>
      </c>
      <c r="F177" s="145"/>
      <c r="G177" s="493">
        <v>175</v>
      </c>
      <c r="H177" s="494">
        <v>130.56800000000001</v>
      </c>
      <c r="I177" s="494">
        <v>140.262</v>
      </c>
      <c r="J177" s="494">
        <v>190.52</v>
      </c>
      <c r="K177" s="494">
        <v>199.363</v>
      </c>
      <c r="L177" s="494">
        <v>206.86699999999999</v>
      </c>
      <c r="M177" s="494">
        <v>213.524</v>
      </c>
      <c r="N177" s="494">
        <v>215.53200000000001</v>
      </c>
      <c r="O177" s="494">
        <v>221.43799999999999</v>
      </c>
      <c r="P177" s="494">
        <v>226.93600000000001</v>
      </c>
      <c r="Q177" s="494">
        <v>233.71700000000001</v>
      </c>
      <c r="R177" s="494">
        <v>238.55099999999999</v>
      </c>
    </row>
    <row r="178" spans="2:18" ht="15.75" x14ac:dyDescent="0.25">
      <c r="B178" s="493">
        <v>176</v>
      </c>
      <c r="C178" s="494">
        <v>207.95500000000001</v>
      </c>
      <c r="D178" s="494">
        <v>222.56299999999999</v>
      </c>
      <c r="E178" s="494">
        <v>239.71600000000001</v>
      </c>
      <c r="F178" s="145"/>
      <c r="G178" s="493">
        <v>176</v>
      </c>
      <c r="H178" s="494">
        <v>131.43</v>
      </c>
      <c r="I178" s="494">
        <v>141.15700000000001</v>
      </c>
      <c r="J178" s="494">
        <v>191.565</v>
      </c>
      <c r="K178" s="494">
        <v>200.43199999999999</v>
      </c>
      <c r="L178" s="494">
        <v>207.95500000000001</v>
      </c>
      <c r="M178" s="494">
        <v>214.62799999999999</v>
      </c>
      <c r="N178" s="494">
        <v>216.64099999999999</v>
      </c>
      <c r="O178" s="494">
        <v>222.56299999999999</v>
      </c>
      <c r="P178" s="494">
        <v>228.07400000000001</v>
      </c>
      <c r="Q178" s="494">
        <v>234.87</v>
      </c>
      <c r="R178" s="494">
        <v>239.71600000000001</v>
      </c>
    </row>
    <row r="179" spans="2:18" ht="15.75" x14ac:dyDescent="0.25">
      <c r="B179" s="493">
        <v>177</v>
      </c>
      <c r="C179" s="494">
        <v>209.042</v>
      </c>
      <c r="D179" s="494">
        <v>223.68700000000001</v>
      </c>
      <c r="E179" s="494">
        <v>240.88</v>
      </c>
      <c r="F179" s="145"/>
      <c r="G179" s="493">
        <v>177</v>
      </c>
      <c r="H179" s="494">
        <v>132.29300000000001</v>
      </c>
      <c r="I179" s="494">
        <v>142.053</v>
      </c>
      <c r="J179" s="494">
        <v>192.61</v>
      </c>
      <c r="K179" s="494">
        <v>201.5</v>
      </c>
      <c r="L179" s="494">
        <v>209.042</v>
      </c>
      <c r="M179" s="494">
        <v>215.733</v>
      </c>
      <c r="N179" s="494">
        <v>217.751</v>
      </c>
      <c r="O179" s="494">
        <v>223.68700000000001</v>
      </c>
      <c r="P179" s="494">
        <v>229.21100000000001</v>
      </c>
      <c r="Q179" s="494">
        <v>236.023</v>
      </c>
      <c r="R179" s="494">
        <v>240.88</v>
      </c>
    </row>
    <row r="180" spans="2:18" ht="15.75" x14ac:dyDescent="0.25">
      <c r="B180" s="493">
        <v>178</v>
      </c>
      <c r="C180" s="494">
        <v>210.13</v>
      </c>
      <c r="D180" s="494">
        <v>224.81</v>
      </c>
      <c r="E180" s="494">
        <v>242.04400000000001</v>
      </c>
      <c r="F180" s="145"/>
      <c r="G180" s="493">
        <v>178</v>
      </c>
      <c r="H180" s="494">
        <v>133.15700000000001</v>
      </c>
      <c r="I180" s="494">
        <v>142.94900000000001</v>
      </c>
      <c r="J180" s="494">
        <v>193.654</v>
      </c>
      <c r="K180" s="494">
        <v>202.56800000000001</v>
      </c>
      <c r="L180" s="494">
        <v>210.13</v>
      </c>
      <c r="M180" s="494">
        <v>216.83699999999999</v>
      </c>
      <c r="N180" s="494">
        <v>218.86</v>
      </c>
      <c r="O180" s="494">
        <v>224.81</v>
      </c>
      <c r="P180" s="494">
        <v>230.34700000000001</v>
      </c>
      <c r="Q180" s="494">
        <v>237.17599999999999</v>
      </c>
      <c r="R180" s="494">
        <v>242.04400000000001</v>
      </c>
    </row>
    <row r="181" spans="2:18" ht="15.75" x14ac:dyDescent="0.25">
      <c r="B181" s="493">
        <v>179</v>
      </c>
      <c r="C181" s="494">
        <v>211.21700000000001</v>
      </c>
      <c r="D181" s="494">
        <v>225.93299999999999</v>
      </c>
      <c r="E181" s="494">
        <v>243.20699999999999</v>
      </c>
      <c r="F181" s="145"/>
      <c r="G181" s="493">
        <v>179</v>
      </c>
      <c r="H181" s="494">
        <v>134.02000000000001</v>
      </c>
      <c r="I181" s="494">
        <v>143.845</v>
      </c>
      <c r="J181" s="494">
        <v>194.69900000000001</v>
      </c>
      <c r="K181" s="494">
        <v>203.636</v>
      </c>
      <c r="L181" s="494">
        <v>211.21700000000001</v>
      </c>
      <c r="M181" s="494">
        <v>217.941</v>
      </c>
      <c r="N181" s="494">
        <v>219.96899999999999</v>
      </c>
      <c r="O181" s="494">
        <v>225.93299999999999</v>
      </c>
      <c r="P181" s="494">
        <v>231.48400000000001</v>
      </c>
      <c r="Q181" s="494">
        <v>238.328</v>
      </c>
      <c r="R181" s="494">
        <v>243.20699999999999</v>
      </c>
    </row>
    <row r="182" spans="2:18" ht="15.75" x14ac:dyDescent="0.25">
      <c r="B182" s="493">
        <v>180</v>
      </c>
      <c r="C182" s="494">
        <v>212.304</v>
      </c>
      <c r="D182" s="494">
        <v>227.05600000000001</v>
      </c>
      <c r="E182" s="494">
        <v>244.37</v>
      </c>
      <c r="F182" s="145"/>
      <c r="G182" s="493">
        <v>180</v>
      </c>
      <c r="H182" s="494">
        <v>134.88399999999999</v>
      </c>
      <c r="I182" s="494">
        <v>144.74100000000001</v>
      </c>
      <c r="J182" s="494">
        <v>195.74299999999999</v>
      </c>
      <c r="K182" s="494">
        <v>204.70400000000001</v>
      </c>
      <c r="L182" s="494">
        <v>212.304</v>
      </c>
      <c r="M182" s="494">
        <v>219.04400000000001</v>
      </c>
      <c r="N182" s="494">
        <v>221.077</v>
      </c>
      <c r="O182" s="494">
        <v>227.05600000000001</v>
      </c>
      <c r="P182" s="494">
        <v>232.62</v>
      </c>
      <c r="Q182" s="494">
        <v>239.48</v>
      </c>
      <c r="R182" s="494">
        <v>244.37</v>
      </c>
    </row>
    <row r="183" spans="2:18" ht="15.75" x14ac:dyDescent="0.25">
      <c r="B183" s="493">
        <v>181</v>
      </c>
      <c r="C183" s="494">
        <v>213.39099999999999</v>
      </c>
      <c r="D183" s="494">
        <v>228.179</v>
      </c>
      <c r="E183" s="494">
        <v>245.53299999999999</v>
      </c>
      <c r="F183" s="145"/>
      <c r="G183" s="493">
        <v>181</v>
      </c>
      <c r="H183" s="494">
        <v>135.749</v>
      </c>
      <c r="I183" s="494">
        <v>145.63800000000001</v>
      </c>
      <c r="J183" s="494">
        <v>196.78800000000001</v>
      </c>
      <c r="K183" s="494">
        <v>205.77099999999999</v>
      </c>
      <c r="L183" s="494">
        <v>213.39099999999999</v>
      </c>
      <c r="M183" s="494">
        <v>220.148</v>
      </c>
      <c r="N183" s="494">
        <v>222.185</v>
      </c>
      <c r="O183" s="494">
        <v>228.179</v>
      </c>
      <c r="P183" s="494">
        <v>233.755</v>
      </c>
      <c r="Q183" s="494">
        <v>240.63200000000001</v>
      </c>
      <c r="R183" s="494">
        <v>245.53299999999999</v>
      </c>
    </row>
    <row r="184" spans="2:18" ht="15.75" x14ac:dyDescent="0.25">
      <c r="B184" s="493">
        <v>182</v>
      </c>
      <c r="C184" s="494">
        <v>214.477</v>
      </c>
      <c r="D184" s="494">
        <v>229.30099999999999</v>
      </c>
      <c r="E184" s="494">
        <v>246.69499999999999</v>
      </c>
      <c r="F184" s="145"/>
      <c r="G184" s="493">
        <v>182</v>
      </c>
      <c r="H184" s="494">
        <v>136.614</v>
      </c>
      <c r="I184" s="494">
        <v>146.535</v>
      </c>
      <c r="J184" s="494">
        <v>197.83199999999999</v>
      </c>
      <c r="K184" s="494">
        <v>206.839</v>
      </c>
      <c r="L184" s="494">
        <v>214.477</v>
      </c>
      <c r="M184" s="494">
        <v>221.251</v>
      </c>
      <c r="N184" s="494">
        <v>223.29300000000001</v>
      </c>
      <c r="O184" s="494">
        <v>229.30099999999999</v>
      </c>
      <c r="P184" s="494">
        <v>234.89099999999999</v>
      </c>
      <c r="Q184" s="494">
        <v>241.78299999999999</v>
      </c>
      <c r="R184" s="494">
        <v>246.69499999999999</v>
      </c>
    </row>
    <row r="185" spans="2:18" ht="15.75" x14ac:dyDescent="0.25">
      <c r="B185" s="493">
        <v>183</v>
      </c>
      <c r="C185" s="494">
        <v>215.56299999999999</v>
      </c>
      <c r="D185" s="494">
        <v>230.423</v>
      </c>
      <c r="E185" s="494">
        <v>247.857</v>
      </c>
      <c r="F185" s="145"/>
      <c r="G185" s="493">
        <v>183</v>
      </c>
      <c r="H185" s="494">
        <v>137.47900000000001</v>
      </c>
      <c r="I185" s="494">
        <v>147.43199999999999</v>
      </c>
      <c r="J185" s="494">
        <v>198.876</v>
      </c>
      <c r="K185" s="494">
        <v>207.90600000000001</v>
      </c>
      <c r="L185" s="494">
        <v>215.56299999999999</v>
      </c>
      <c r="M185" s="494">
        <v>222.35300000000001</v>
      </c>
      <c r="N185" s="494">
        <v>224.40100000000001</v>
      </c>
      <c r="O185" s="494">
        <v>230.423</v>
      </c>
      <c r="P185" s="494">
        <v>236.02600000000001</v>
      </c>
      <c r="Q185" s="494">
        <v>242.93299999999999</v>
      </c>
      <c r="R185" s="494">
        <v>247.857</v>
      </c>
    </row>
    <row r="186" spans="2:18" ht="15.75" x14ac:dyDescent="0.25">
      <c r="B186" s="493">
        <v>184</v>
      </c>
      <c r="C186" s="494">
        <v>216.649</v>
      </c>
      <c r="D186" s="494">
        <v>231.54400000000001</v>
      </c>
      <c r="E186" s="494">
        <v>249.018</v>
      </c>
      <c r="F186" s="145"/>
      <c r="G186" s="493">
        <v>184</v>
      </c>
      <c r="H186" s="494">
        <v>138.34399999999999</v>
      </c>
      <c r="I186" s="494">
        <v>148.33000000000001</v>
      </c>
      <c r="J186" s="494">
        <v>199.92</v>
      </c>
      <c r="K186" s="494">
        <v>208.97300000000001</v>
      </c>
      <c r="L186" s="494">
        <v>216.649</v>
      </c>
      <c r="M186" s="494">
        <v>223.45599999999999</v>
      </c>
      <c r="N186" s="494">
        <v>225.50800000000001</v>
      </c>
      <c r="O186" s="494">
        <v>231.54400000000001</v>
      </c>
      <c r="P186" s="494">
        <v>237.16</v>
      </c>
      <c r="Q186" s="494">
        <v>244.084</v>
      </c>
      <c r="R186" s="494">
        <v>249.018</v>
      </c>
    </row>
    <row r="187" spans="2:18" ht="15.75" x14ac:dyDescent="0.25">
      <c r="B187" s="493">
        <v>185</v>
      </c>
      <c r="C187" s="494">
        <v>217.73500000000001</v>
      </c>
      <c r="D187" s="494">
        <v>232.66499999999999</v>
      </c>
      <c r="E187" s="494">
        <v>250.179</v>
      </c>
      <c r="F187" s="145"/>
      <c r="G187" s="493">
        <v>185</v>
      </c>
      <c r="H187" s="494">
        <v>139.21</v>
      </c>
      <c r="I187" s="494">
        <v>149.22800000000001</v>
      </c>
      <c r="J187" s="494">
        <v>200.964</v>
      </c>
      <c r="K187" s="494">
        <v>210.04</v>
      </c>
      <c r="L187" s="494">
        <v>217.73500000000001</v>
      </c>
      <c r="M187" s="494">
        <v>224.55799999999999</v>
      </c>
      <c r="N187" s="494">
        <v>226.61500000000001</v>
      </c>
      <c r="O187" s="494">
        <v>232.66499999999999</v>
      </c>
      <c r="P187" s="494">
        <v>238.29400000000001</v>
      </c>
      <c r="Q187" s="494">
        <v>245.23400000000001</v>
      </c>
      <c r="R187" s="494">
        <v>250.179</v>
      </c>
    </row>
    <row r="188" spans="2:18" ht="15.75" x14ac:dyDescent="0.25">
      <c r="B188" s="493">
        <v>186</v>
      </c>
      <c r="C188" s="494">
        <v>218.82</v>
      </c>
      <c r="D188" s="494">
        <v>233.786</v>
      </c>
      <c r="E188" s="494">
        <v>251.339</v>
      </c>
      <c r="F188" s="145"/>
      <c r="G188" s="493">
        <v>186</v>
      </c>
      <c r="H188" s="494">
        <v>140.077</v>
      </c>
      <c r="I188" s="494">
        <v>150.126</v>
      </c>
      <c r="J188" s="494">
        <v>202.00800000000001</v>
      </c>
      <c r="K188" s="494">
        <v>211.10599999999999</v>
      </c>
      <c r="L188" s="494">
        <v>218.82</v>
      </c>
      <c r="M188" s="494">
        <v>225.66</v>
      </c>
      <c r="N188" s="494">
        <v>227.72200000000001</v>
      </c>
      <c r="O188" s="494">
        <v>233.786</v>
      </c>
      <c r="P188" s="494">
        <v>239.428</v>
      </c>
      <c r="Q188" s="494">
        <v>246.38300000000001</v>
      </c>
      <c r="R188" s="494">
        <v>251.339</v>
      </c>
    </row>
    <row r="189" spans="2:18" ht="15.75" x14ac:dyDescent="0.25">
      <c r="B189" s="493">
        <v>187</v>
      </c>
      <c r="C189" s="494">
        <v>219.90600000000001</v>
      </c>
      <c r="D189" s="494">
        <v>234.90700000000001</v>
      </c>
      <c r="E189" s="494">
        <v>252.499</v>
      </c>
      <c r="F189" s="145"/>
      <c r="G189" s="493">
        <v>187</v>
      </c>
      <c r="H189" s="494">
        <v>140.94300000000001</v>
      </c>
      <c r="I189" s="494">
        <v>151.024</v>
      </c>
      <c r="J189" s="494">
        <v>203.05199999999999</v>
      </c>
      <c r="K189" s="494">
        <v>212.173</v>
      </c>
      <c r="L189" s="494">
        <v>219.90600000000001</v>
      </c>
      <c r="M189" s="494">
        <v>226.761</v>
      </c>
      <c r="N189" s="494">
        <v>228.828</v>
      </c>
      <c r="O189" s="494">
        <v>234.90700000000001</v>
      </c>
      <c r="P189" s="494">
        <v>240.56100000000001</v>
      </c>
      <c r="Q189" s="494">
        <v>247.53200000000001</v>
      </c>
      <c r="R189" s="494">
        <v>252.499</v>
      </c>
    </row>
    <row r="190" spans="2:18" ht="15.75" x14ac:dyDescent="0.25">
      <c r="B190" s="493">
        <v>188</v>
      </c>
      <c r="C190" s="494">
        <v>220.99100000000001</v>
      </c>
      <c r="D190" s="494">
        <v>236.02699999999999</v>
      </c>
      <c r="E190" s="494">
        <v>253.65899999999999</v>
      </c>
      <c r="F190" s="145"/>
      <c r="G190" s="493">
        <v>188</v>
      </c>
      <c r="H190" s="494">
        <v>141.81</v>
      </c>
      <c r="I190" s="494">
        <v>151.923</v>
      </c>
      <c r="J190" s="494">
        <v>204.095</v>
      </c>
      <c r="K190" s="494">
        <v>213.239</v>
      </c>
      <c r="L190" s="494">
        <v>220.99100000000001</v>
      </c>
      <c r="M190" s="494">
        <v>227.863</v>
      </c>
      <c r="N190" s="494">
        <v>229.935</v>
      </c>
      <c r="O190" s="494">
        <v>236.02699999999999</v>
      </c>
      <c r="P190" s="494">
        <v>241.69399999999999</v>
      </c>
      <c r="Q190" s="494">
        <v>248.68100000000001</v>
      </c>
      <c r="R190" s="494">
        <v>253.65899999999999</v>
      </c>
    </row>
    <row r="191" spans="2:18" ht="15.75" x14ac:dyDescent="0.25">
      <c r="B191" s="493">
        <v>189</v>
      </c>
      <c r="C191" s="494">
        <v>222.07599999999999</v>
      </c>
      <c r="D191" s="494">
        <v>237.14699999999999</v>
      </c>
      <c r="E191" s="494">
        <v>254.81800000000001</v>
      </c>
      <c r="F191" s="145"/>
      <c r="G191" s="493">
        <v>189</v>
      </c>
      <c r="H191" s="494">
        <v>142.678</v>
      </c>
      <c r="I191" s="494">
        <v>152.822</v>
      </c>
      <c r="J191" s="494">
        <v>205.13900000000001</v>
      </c>
      <c r="K191" s="494">
        <v>214.30500000000001</v>
      </c>
      <c r="L191" s="494">
        <v>222.07599999999999</v>
      </c>
      <c r="M191" s="494">
        <v>228.964</v>
      </c>
      <c r="N191" s="494">
        <v>231.04</v>
      </c>
      <c r="O191" s="494">
        <v>237.14699999999999</v>
      </c>
      <c r="P191" s="494">
        <v>242.827</v>
      </c>
      <c r="Q191" s="494">
        <v>249.82900000000001</v>
      </c>
      <c r="R191" s="494">
        <v>254.81800000000001</v>
      </c>
    </row>
    <row r="192" spans="2:18" ht="15.75" x14ac:dyDescent="0.25">
      <c r="B192" s="493">
        <v>190</v>
      </c>
      <c r="C192" s="494">
        <v>223.16</v>
      </c>
      <c r="D192" s="494">
        <v>238.26599999999999</v>
      </c>
      <c r="E192" s="494">
        <v>255.976</v>
      </c>
      <c r="F192" s="145"/>
      <c r="G192" s="493">
        <v>190</v>
      </c>
      <c r="H192" s="494">
        <v>143.54499999999999</v>
      </c>
      <c r="I192" s="494">
        <v>153.721</v>
      </c>
      <c r="J192" s="494">
        <v>206.18199999999999</v>
      </c>
      <c r="K192" s="494">
        <v>215.37100000000001</v>
      </c>
      <c r="L192" s="494">
        <v>223.16</v>
      </c>
      <c r="M192" s="494">
        <v>230.06399999999999</v>
      </c>
      <c r="N192" s="494">
        <v>232.14599999999999</v>
      </c>
      <c r="O192" s="494">
        <v>238.26599999999999</v>
      </c>
      <c r="P192" s="494">
        <v>243.959</v>
      </c>
      <c r="Q192" s="494">
        <v>250.977</v>
      </c>
      <c r="R192" s="494">
        <v>255.976</v>
      </c>
    </row>
    <row r="193" spans="2:18" ht="15.75" x14ac:dyDescent="0.25">
      <c r="B193" s="493">
        <v>191</v>
      </c>
      <c r="C193" s="494">
        <v>224.245</v>
      </c>
      <c r="D193" s="494">
        <v>239.386</v>
      </c>
      <c r="E193" s="494">
        <v>257.13499999999999</v>
      </c>
      <c r="F193" s="145"/>
      <c r="G193" s="493">
        <v>191</v>
      </c>
      <c r="H193" s="494">
        <v>144.41300000000001</v>
      </c>
      <c r="I193" s="494">
        <v>154.62100000000001</v>
      </c>
      <c r="J193" s="494">
        <v>207.22499999999999</v>
      </c>
      <c r="K193" s="494">
        <v>216.43700000000001</v>
      </c>
      <c r="L193" s="494">
        <v>224.245</v>
      </c>
      <c r="M193" s="494">
        <v>231.16499999999999</v>
      </c>
      <c r="N193" s="494">
        <v>233.251</v>
      </c>
      <c r="O193" s="494">
        <v>239.386</v>
      </c>
      <c r="P193" s="494">
        <v>245.09100000000001</v>
      </c>
      <c r="Q193" s="494">
        <v>252.124</v>
      </c>
      <c r="R193" s="494">
        <v>257.13499999999999</v>
      </c>
    </row>
    <row r="194" spans="2:18" ht="15.75" x14ac:dyDescent="0.25">
      <c r="B194" s="493">
        <v>192</v>
      </c>
      <c r="C194" s="494">
        <v>225.32900000000001</v>
      </c>
      <c r="D194" s="494">
        <v>240.505</v>
      </c>
      <c r="E194" s="494">
        <v>258.29199999999997</v>
      </c>
      <c r="F194" s="145"/>
      <c r="G194" s="493">
        <v>192</v>
      </c>
      <c r="H194" s="494">
        <v>145.28200000000001</v>
      </c>
      <c r="I194" s="494">
        <v>155.52099999999999</v>
      </c>
      <c r="J194" s="494">
        <v>208.268</v>
      </c>
      <c r="K194" s="494">
        <v>217.50200000000001</v>
      </c>
      <c r="L194" s="494">
        <v>225.32900000000001</v>
      </c>
      <c r="M194" s="494">
        <v>232.26499999999999</v>
      </c>
      <c r="N194" s="494">
        <v>234.35599999999999</v>
      </c>
      <c r="O194" s="494">
        <v>240.505</v>
      </c>
      <c r="P194" s="494">
        <v>246.22300000000001</v>
      </c>
      <c r="Q194" s="494">
        <v>253.27099999999999</v>
      </c>
      <c r="R194" s="494">
        <v>258.29199999999997</v>
      </c>
    </row>
    <row r="195" spans="2:18" ht="15.75" x14ac:dyDescent="0.25">
      <c r="B195" s="493">
        <v>193</v>
      </c>
      <c r="C195" s="494">
        <v>226.41300000000001</v>
      </c>
      <c r="D195" s="494">
        <v>241.62299999999999</v>
      </c>
      <c r="E195" s="494">
        <v>259.45</v>
      </c>
      <c r="F195" s="145"/>
      <c r="G195" s="493">
        <v>193</v>
      </c>
      <c r="H195" s="494">
        <v>146.15</v>
      </c>
      <c r="I195" s="494">
        <v>156.42099999999999</v>
      </c>
      <c r="J195" s="494">
        <v>209.31100000000001</v>
      </c>
      <c r="K195" s="494">
        <v>218.56800000000001</v>
      </c>
      <c r="L195" s="494">
        <v>226.41300000000001</v>
      </c>
      <c r="M195" s="494">
        <v>233.36500000000001</v>
      </c>
      <c r="N195" s="494">
        <v>235.46100000000001</v>
      </c>
      <c r="O195" s="494">
        <v>241.62299999999999</v>
      </c>
      <c r="P195" s="494">
        <v>247.35400000000001</v>
      </c>
      <c r="Q195" s="494">
        <v>254.41800000000001</v>
      </c>
      <c r="R195" s="494">
        <v>259.45</v>
      </c>
    </row>
    <row r="196" spans="2:18" ht="15.75" x14ac:dyDescent="0.25">
      <c r="B196" s="493">
        <v>194</v>
      </c>
      <c r="C196" s="494">
        <v>227.49600000000001</v>
      </c>
      <c r="D196" s="494">
        <v>242.74199999999999</v>
      </c>
      <c r="E196" s="494">
        <v>260.60700000000003</v>
      </c>
      <c r="F196" s="145"/>
      <c r="G196" s="493">
        <v>194</v>
      </c>
      <c r="H196" s="494">
        <v>147.02000000000001</v>
      </c>
      <c r="I196" s="494">
        <v>157.321</v>
      </c>
      <c r="J196" s="494">
        <v>210.35400000000001</v>
      </c>
      <c r="K196" s="494">
        <v>219.63300000000001</v>
      </c>
      <c r="L196" s="494">
        <v>227.49600000000001</v>
      </c>
      <c r="M196" s="494">
        <v>234.465</v>
      </c>
      <c r="N196" s="494">
        <v>236.566</v>
      </c>
      <c r="O196" s="494">
        <v>242.74199999999999</v>
      </c>
      <c r="P196" s="494">
        <v>248.48500000000001</v>
      </c>
      <c r="Q196" s="494">
        <v>255.56399999999999</v>
      </c>
      <c r="R196" s="494">
        <v>260.60700000000003</v>
      </c>
    </row>
    <row r="197" spans="2:18" ht="15.75" x14ac:dyDescent="0.25">
      <c r="B197" s="493">
        <v>195</v>
      </c>
      <c r="C197" s="494">
        <v>228.58</v>
      </c>
      <c r="D197" s="494">
        <v>243.86</v>
      </c>
      <c r="E197" s="494">
        <v>261.76299999999998</v>
      </c>
      <c r="F197" s="145"/>
      <c r="G197" s="493">
        <v>195</v>
      </c>
      <c r="H197" s="494">
        <v>147.88900000000001</v>
      </c>
      <c r="I197" s="494">
        <v>158.221</v>
      </c>
      <c r="J197" s="494">
        <v>211.39699999999999</v>
      </c>
      <c r="K197" s="494">
        <v>220.69800000000001</v>
      </c>
      <c r="L197" s="494">
        <v>228.58</v>
      </c>
      <c r="M197" s="494">
        <v>235.56399999999999</v>
      </c>
      <c r="N197" s="494">
        <v>237.67</v>
      </c>
      <c r="O197" s="494">
        <v>243.86</v>
      </c>
      <c r="P197" s="494">
        <v>249.61600000000001</v>
      </c>
      <c r="Q197" s="494">
        <v>256.70999999999998</v>
      </c>
      <c r="R197" s="494">
        <v>261.76299999999998</v>
      </c>
    </row>
    <row r="198" spans="2:18" ht="15.75" x14ac:dyDescent="0.25">
      <c r="B198" s="493">
        <v>196</v>
      </c>
      <c r="C198" s="494">
        <v>229.66300000000001</v>
      </c>
      <c r="D198" s="494">
        <v>244.977</v>
      </c>
      <c r="E198" s="494">
        <v>262.92</v>
      </c>
      <c r="F198" s="145"/>
      <c r="G198" s="493">
        <v>196</v>
      </c>
      <c r="H198" s="494">
        <v>148.75899999999999</v>
      </c>
      <c r="I198" s="494">
        <v>159.12200000000001</v>
      </c>
      <c r="J198" s="494">
        <v>212.43899999999999</v>
      </c>
      <c r="K198" s="494">
        <v>221.76300000000001</v>
      </c>
      <c r="L198" s="494">
        <v>229.66300000000001</v>
      </c>
      <c r="M198" s="494">
        <v>236.66399999999999</v>
      </c>
      <c r="N198" s="494">
        <v>238.774</v>
      </c>
      <c r="O198" s="494">
        <v>244.977</v>
      </c>
      <c r="P198" s="494">
        <v>250.74600000000001</v>
      </c>
      <c r="Q198" s="494">
        <v>257.85500000000002</v>
      </c>
      <c r="R198" s="494">
        <v>262.92</v>
      </c>
    </row>
    <row r="199" spans="2:18" ht="15.75" x14ac:dyDescent="0.25">
      <c r="B199" s="493">
        <v>197</v>
      </c>
      <c r="C199" s="494">
        <v>230.74600000000001</v>
      </c>
      <c r="D199" s="494">
        <v>246.095</v>
      </c>
      <c r="E199" s="494">
        <v>264.07499999999999</v>
      </c>
      <c r="F199" s="145"/>
      <c r="G199" s="493">
        <v>197</v>
      </c>
      <c r="H199" s="494">
        <v>149.62899999999999</v>
      </c>
      <c r="I199" s="494">
        <v>160.023</v>
      </c>
      <c r="J199" s="494">
        <v>213.482</v>
      </c>
      <c r="K199" s="494">
        <v>222.828</v>
      </c>
      <c r="L199" s="494">
        <v>230.74600000000001</v>
      </c>
      <c r="M199" s="494">
        <v>237.76300000000001</v>
      </c>
      <c r="N199" s="494">
        <v>239.87700000000001</v>
      </c>
      <c r="O199" s="494">
        <v>246.095</v>
      </c>
      <c r="P199" s="494">
        <v>251.876</v>
      </c>
      <c r="Q199" s="494">
        <v>259.00099999999998</v>
      </c>
      <c r="R199" s="494">
        <v>264.07499999999999</v>
      </c>
    </row>
    <row r="200" spans="2:18" ht="15.75" x14ac:dyDescent="0.25">
      <c r="B200" s="493">
        <v>198</v>
      </c>
      <c r="C200" s="494">
        <v>231.82900000000001</v>
      </c>
      <c r="D200" s="494">
        <v>247.21199999999999</v>
      </c>
      <c r="E200" s="494">
        <v>265.23099999999999</v>
      </c>
      <c r="F200" s="145"/>
      <c r="G200" s="493">
        <v>198</v>
      </c>
      <c r="H200" s="494">
        <v>150.499</v>
      </c>
      <c r="I200" s="494">
        <v>160.92500000000001</v>
      </c>
      <c r="J200" s="494">
        <v>214.524</v>
      </c>
      <c r="K200" s="494">
        <v>223.892</v>
      </c>
      <c r="L200" s="494">
        <v>231.82900000000001</v>
      </c>
      <c r="M200" s="494">
        <v>238.86099999999999</v>
      </c>
      <c r="N200" s="494">
        <v>240.98099999999999</v>
      </c>
      <c r="O200" s="494">
        <v>247.21199999999999</v>
      </c>
      <c r="P200" s="494">
        <v>253.006</v>
      </c>
      <c r="Q200" s="494">
        <v>260.14499999999998</v>
      </c>
      <c r="R200" s="494">
        <v>265.23099999999999</v>
      </c>
    </row>
    <row r="201" spans="2:18" ht="15.75" x14ac:dyDescent="0.25">
      <c r="B201" s="493">
        <v>199</v>
      </c>
      <c r="C201" s="494">
        <v>232.91200000000001</v>
      </c>
      <c r="D201" s="494">
        <v>248.32900000000001</v>
      </c>
      <c r="E201" s="494">
        <v>266.38600000000002</v>
      </c>
      <c r="F201" s="145"/>
      <c r="G201" s="493">
        <v>199</v>
      </c>
      <c r="H201" s="494">
        <v>151.37</v>
      </c>
      <c r="I201" s="494">
        <v>161.82599999999999</v>
      </c>
      <c r="J201" s="494">
        <v>215.56700000000001</v>
      </c>
      <c r="K201" s="494">
        <v>224.95699999999999</v>
      </c>
      <c r="L201" s="494">
        <v>232.91200000000001</v>
      </c>
      <c r="M201" s="494">
        <v>239.96</v>
      </c>
      <c r="N201" s="494">
        <v>242.084</v>
      </c>
      <c r="O201" s="494">
        <v>248.32900000000001</v>
      </c>
      <c r="P201" s="494">
        <v>254.13499999999999</v>
      </c>
      <c r="Q201" s="494">
        <v>261.29000000000002</v>
      </c>
      <c r="R201" s="494">
        <v>266.38600000000002</v>
      </c>
    </row>
    <row r="202" spans="2:18" ht="15.75" x14ac:dyDescent="0.25">
      <c r="B202" s="493">
        <v>200</v>
      </c>
      <c r="C202" s="494">
        <v>233.994</v>
      </c>
      <c r="D202" s="494">
        <v>249.44499999999999</v>
      </c>
      <c r="E202" s="494">
        <v>267.541</v>
      </c>
      <c r="F202" s="145"/>
      <c r="G202" s="493">
        <v>200</v>
      </c>
      <c r="H202" s="494">
        <v>152.24100000000001</v>
      </c>
      <c r="I202" s="494">
        <v>162.72800000000001</v>
      </c>
      <c r="J202" s="494">
        <v>216.60900000000001</v>
      </c>
      <c r="K202" s="494">
        <v>226.02099999999999</v>
      </c>
      <c r="L202" s="494">
        <v>233.994</v>
      </c>
      <c r="M202" s="494">
        <v>241.05799999999999</v>
      </c>
      <c r="N202" s="494">
        <v>243.18700000000001</v>
      </c>
      <c r="O202" s="494">
        <v>249.44499999999999</v>
      </c>
      <c r="P202" s="494">
        <v>255.26400000000001</v>
      </c>
      <c r="Q202" s="494">
        <v>262.43400000000003</v>
      </c>
      <c r="R202" s="494">
        <v>267.541</v>
      </c>
    </row>
    <row r="203" spans="2:18" ht="15.75" x14ac:dyDescent="0.25">
      <c r="B203" s="493">
        <v>201</v>
      </c>
      <c r="C203" s="494">
        <v>235.077</v>
      </c>
      <c r="D203" s="494">
        <v>250.56100000000001</v>
      </c>
      <c r="E203" s="494">
        <v>268.69499999999999</v>
      </c>
      <c r="F203" s="145"/>
      <c r="G203" s="493">
        <v>201</v>
      </c>
      <c r="H203" s="494">
        <v>153.11199999999999</v>
      </c>
      <c r="I203" s="494">
        <v>163.63</v>
      </c>
      <c r="J203" s="494">
        <v>217.65100000000001</v>
      </c>
      <c r="K203" s="494">
        <v>227.08500000000001</v>
      </c>
      <c r="L203" s="494">
        <v>235.077</v>
      </c>
      <c r="M203" s="494">
        <v>242.15600000000001</v>
      </c>
      <c r="N203" s="494">
        <v>244.29</v>
      </c>
      <c r="O203" s="494">
        <v>250.56100000000001</v>
      </c>
      <c r="P203" s="494">
        <v>256.39299999999997</v>
      </c>
      <c r="Q203" s="494">
        <v>263.57799999999997</v>
      </c>
      <c r="R203" s="494">
        <v>268.69499999999999</v>
      </c>
    </row>
    <row r="204" spans="2:18" ht="15.75" x14ac:dyDescent="0.25">
      <c r="B204" s="493">
        <v>202</v>
      </c>
      <c r="C204" s="494">
        <v>236.15899999999999</v>
      </c>
      <c r="D204" s="494">
        <v>251.67699999999999</v>
      </c>
      <c r="E204" s="494">
        <v>269.84899999999999</v>
      </c>
      <c r="F204" s="145"/>
      <c r="G204" s="493">
        <v>202</v>
      </c>
      <c r="H204" s="494">
        <v>153.98400000000001</v>
      </c>
      <c r="I204" s="494">
        <v>164.53200000000001</v>
      </c>
      <c r="J204" s="494">
        <v>218.69300000000001</v>
      </c>
      <c r="K204" s="494">
        <v>228.149</v>
      </c>
      <c r="L204" s="494">
        <v>236.15899999999999</v>
      </c>
      <c r="M204" s="494">
        <v>243.25399999999999</v>
      </c>
      <c r="N204" s="494">
        <v>245.392</v>
      </c>
      <c r="O204" s="494">
        <v>251.67699999999999</v>
      </c>
      <c r="P204" s="494">
        <v>257.52100000000002</v>
      </c>
      <c r="Q204" s="494">
        <v>264.721</v>
      </c>
      <c r="R204" s="494">
        <v>269.84899999999999</v>
      </c>
    </row>
    <row r="205" spans="2:18" ht="15.75" x14ac:dyDescent="0.25">
      <c r="B205" s="493">
        <v>203</v>
      </c>
      <c r="C205" s="494">
        <v>237.24</v>
      </c>
      <c r="D205" s="494">
        <v>252.79300000000001</v>
      </c>
      <c r="E205" s="494">
        <v>271.00200000000001</v>
      </c>
      <c r="F205" s="145"/>
      <c r="G205" s="493">
        <v>203</v>
      </c>
      <c r="H205" s="494">
        <v>154.85599999999999</v>
      </c>
      <c r="I205" s="494">
        <v>165.435</v>
      </c>
      <c r="J205" s="494">
        <v>219.73500000000001</v>
      </c>
      <c r="K205" s="494">
        <v>229.21299999999999</v>
      </c>
      <c r="L205" s="494">
        <v>237.24</v>
      </c>
      <c r="M205" s="494">
        <v>244.351</v>
      </c>
      <c r="N205" s="494">
        <v>246.494</v>
      </c>
      <c r="O205" s="494">
        <v>252.79300000000001</v>
      </c>
      <c r="P205" s="494">
        <v>258.649</v>
      </c>
      <c r="Q205" s="494">
        <v>265.86399999999998</v>
      </c>
      <c r="R205" s="494">
        <v>271.00200000000001</v>
      </c>
    </row>
    <row r="206" spans="2:18" ht="15.75" x14ac:dyDescent="0.25">
      <c r="B206" s="493">
        <v>204</v>
      </c>
      <c r="C206" s="494">
        <v>238.322</v>
      </c>
      <c r="D206" s="494">
        <v>253.90799999999999</v>
      </c>
      <c r="E206" s="494">
        <v>272.15499999999997</v>
      </c>
      <c r="F206" s="145"/>
      <c r="G206" s="493">
        <v>204</v>
      </c>
      <c r="H206" s="494">
        <v>155.72800000000001</v>
      </c>
      <c r="I206" s="494">
        <v>166.33799999999999</v>
      </c>
      <c r="J206" s="494">
        <v>220.77699999999999</v>
      </c>
      <c r="K206" s="494">
        <v>230.27600000000001</v>
      </c>
      <c r="L206" s="494">
        <v>238.322</v>
      </c>
      <c r="M206" s="494">
        <v>245.44800000000001</v>
      </c>
      <c r="N206" s="494">
        <v>247.596</v>
      </c>
      <c r="O206" s="494">
        <v>253.90799999999999</v>
      </c>
      <c r="P206" s="494">
        <v>259.77699999999999</v>
      </c>
      <c r="Q206" s="494">
        <v>267.00700000000001</v>
      </c>
      <c r="R206" s="494">
        <v>272.15499999999997</v>
      </c>
    </row>
    <row r="207" spans="2:18" ht="15.75" x14ac:dyDescent="0.25">
      <c r="B207" s="493">
        <v>205</v>
      </c>
      <c r="C207" s="494">
        <v>239.40299999999999</v>
      </c>
      <c r="D207" s="494">
        <v>255.023</v>
      </c>
      <c r="E207" s="494">
        <v>273.30799999999999</v>
      </c>
      <c r="F207" s="145"/>
      <c r="G207" s="493">
        <v>205</v>
      </c>
      <c r="H207" s="494">
        <v>156.601</v>
      </c>
      <c r="I207" s="494">
        <v>167.24100000000001</v>
      </c>
      <c r="J207" s="494">
        <v>221.81800000000001</v>
      </c>
      <c r="K207" s="494">
        <v>231.34</v>
      </c>
      <c r="L207" s="494">
        <v>239.40299999999999</v>
      </c>
      <c r="M207" s="494">
        <v>246.54499999999999</v>
      </c>
      <c r="N207" s="494">
        <v>248.69800000000001</v>
      </c>
      <c r="O207" s="494">
        <v>255.023</v>
      </c>
      <c r="P207" s="494">
        <v>260.904</v>
      </c>
      <c r="Q207" s="494">
        <v>268.149</v>
      </c>
      <c r="R207" s="494">
        <v>273.30799999999999</v>
      </c>
    </row>
    <row r="208" spans="2:18" ht="15.75" x14ac:dyDescent="0.25">
      <c r="B208" s="493">
        <v>206</v>
      </c>
      <c r="C208" s="494">
        <v>240.48500000000001</v>
      </c>
      <c r="D208" s="494">
        <v>256.13799999999998</v>
      </c>
      <c r="E208" s="494">
        <v>274.45999999999998</v>
      </c>
      <c r="F208" s="145"/>
      <c r="G208" s="493">
        <v>206</v>
      </c>
      <c r="H208" s="494">
        <v>157.47399999999999</v>
      </c>
      <c r="I208" s="494">
        <v>168.14400000000001</v>
      </c>
      <c r="J208" s="494">
        <v>222.86</v>
      </c>
      <c r="K208" s="494">
        <v>232.40299999999999</v>
      </c>
      <c r="L208" s="494">
        <v>240.48500000000001</v>
      </c>
      <c r="M208" s="494">
        <v>247.642</v>
      </c>
      <c r="N208" s="494">
        <v>249.79900000000001</v>
      </c>
      <c r="O208" s="494">
        <v>256.13799999999998</v>
      </c>
      <c r="P208" s="494">
        <v>262.03100000000001</v>
      </c>
      <c r="Q208" s="494">
        <v>269.291</v>
      </c>
      <c r="R208" s="494">
        <v>274.45999999999998</v>
      </c>
    </row>
    <row r="209" spans="2:18" ht="15.75" x14ac:dyDescent="0.25">
      <c r="B209" s="493">
        <v>207</v>
      </c>
      <c r="C209" s="494">
        <v>241.566</v>
      </c>
      <c r="D209" s="494">
        <v>257.25299999999999</v>
      </c>
      <c r="E209" s="494">
        <v>275.61200000000002</v>
      </c>
      <c r="F209" s="145"/>
      <c r="G209" s="493">
        <v>207</v>
      </c>
      <c r="H209" s="494">
        <v>158.34700000000001</v>
      </c>
      <c r="I209" s="494">
        <v>169.047</v>
      </c>
      <c r="J209" s="494">
        <v>223.90100000000001</v>
      </c>
      <c r="K209" s="494">
        <v>233.46600000000001</v>
      </c>
      <c r="L209" s="494">
        <v>241.566</v>
      </c>
      <c r="M209" s="494">
        <v>248.739</v>
      </c>
      <c r="N209" s="494">
        <v>250.9</v>
      </c>
      <c r="O209" s="494">
        <v>257.25299999999999</v>
      </c>
      <c r="P209" s="494">
        <v>263.15800000000002</v>
      </c>
      <c r="Q209" s="494">
        <v>270.43200000000002</v>
      </c>
      <c r="R209" s="494">
        <v>275.61200000000002</v>
      </c>
    </row>
    <row r="210" spans="2:18" ht="15.75" x14ac:dyDescent="0.25">
      <c r="B210" s="493">
        <v>208</v>
      </c>
      <c r="C210" s="494">
        <v>242.64699999999999</v>
      </c>
      <c r="D210" s="494">
        <v>258.36700000000002</v>
      </c>
      <c r="E210" s="494">
        <v>276.76400000000001</v>
      </c>
      <c r="F210" s="145"/>
      <c r="G210" s="493">
        <v>208</v>
      </c>
      <c r="H210" s="494">
        <v>159.221</v>
      </c>
      <c r="I210" s="494">
        <v>169.95099999999999</v>
      </c>
      <c r="J210" s="494">
        <v>224.94300000000001</v>
      </c>
      <c r="K210" s="494">
        <v>234.529</v>
      </c>
      <c r="L210" s="494">
        <v>242.64699999999999</v>
      </c>
      <c r="M210" s="494">
        <v>249.83500000000001</v>
      </c>
      <c r="N210" s="494">
        <v>252.001</v>
      </c>
      <c r="O210" s="494">
        <v>258.36700000000002</v>
      </c>
      <c r="P210" s="494">
        <v>264.28500000000003</v>
      </c>
      <c r="Q210" s="494">
        <v>271.57400000000001</v>
      </c>
      <c r="R210" s="494">
        <v>276.76400000000001</v>
      </c>
    </row>
    <row r="211" spans="2:18" ht="15.75" x14ac:dyDescent="0.25">
      <c r="B211" s="493">
        <v>209</v>
      </c>
      <c r="C211" s="494">
        <v>243.727</v>
      </c>
      <c r="D211" s="494">
        <v>259.48099999999999</v>
      </c>
      <c r="E211" s="494">
        <v>277.91500000000002</v>
      </c>
      <c r="F211" s="145"/>
      <c r="G211" s="493">
        <v>209</v>
      </c>
      <c r="H211" s="494">
        <v>160.095</v>
      </c>
      <c r="I211" s="494">
        <v>170.85499999999999</v>
      </c>
      <c r="J211" s="494">
        <v>225.98400000000001</v>
      </c>
      <c r="K211" s="494">
        <v>235.59200000000001</v>
      </c>
      <c r="L211" s="494">
        <v>243.727</v>
      </c>
      <c r="M211" s="494">
        <v>250.93100000000001</v>
      </c>
      <c r="N211" s="494">
        <v>253.102</v>
      </c>
      <c r="O211" s="494">
        <v>259.48099999999999</v>
      </c>
      <c r="P211" s="494">
        <v>265.411</v>
      </c>
      <c r="Q211" s="494">
        <v>272.71499999999997</v>
      </c>
      <c r="R211" s="494">
        <v>277.91500000000002</v>
      </c>
    </row>
    <row r="212" spans="2:18" ht="15.75" x14ac:dyDescent="0.25">
      <c r="B212" s="493">
        <v>210</v>
      </c>
      <c r="C212" s="494">
        <v>244.80799999999999</v>
      </c>
      <c r="D212" s="494">
        <v>260.59500000000003</v>
      </c>
      <c r="E212" s="494">
        <v>279.06599999999997</v>
      </c>
      <c r="F212" s="145"/>
      <c r="G212" s="493">
        <v>210</v>
      </c>
      <c r="H212" s="494">
        <v>160.96899999999999</v>
      </c>
      <c r="I212" s="494">
        <v>171.75899999999999</v>
      </c>
      <c r="J212" s="494">
        <v>227.02500000000001</v>
      </c>
      <c r="K212" s="494">
        <v>236.655</v>
      </c>
      <c r="L212" s="494">
        <v>244.80799999999999</v>
      </c>
      <c r="M212" s="494">
        <v>252.02699999999999</v>
      </c>
      <c r="N212" s="494">
        <v>254.202</v>
      </c>
      <c r="O212" s="494">
        <v>260.59500000000003</v>
      </c>
      <c r="P212" s="494">
        <v>266.53699999999998</v>
      </c>
      <c r="Q212" s="494">
        <v>273.85500000000002</v>
      </c>
      <c r="R212" s="494">
        <v>279.06599999999997</v>
      </c>
    </row>
    <row r="213" spans="2:18" ht="15.75" x14ac:dyDescent="0.25">
      <c r="B213" s="493">
        <v>211</v>
      </c>
      <c r="C213" s="494">
        <v>245.88800000000001</v>
      </c>
      <c r="D213" s="494">
        <v>261.70800000000003</v>
      </c>
      <c r="E213" s="494">
        <v>280.21699999999998</v>
      </c>
      <c r="F213" s="145"/>
      <c r="G213" s="493">
        <v>211</v>
      </c>
      <c r="H213" s="494">
        <v>161.84299999999999</v>
      </c>
      <c r="I213" s="494">
        <v>172.66399999999999</v>
      </c>
      <c r="J213" s="494">
        <v>228.066</v>
      </c>
      <c r="K213" s="494">
        <v>237.71700000000001</v>
      </c>
      <c r="L213" s="494">
        <v>245.88800000000001</v>
      </c>
      <c r="M213" s="494">
        <v>253.12200000000001</v>
      </c>
      <c r="N213" s="494">
        <v>255.30199999999999</v>
      </c>
      <c r="O213" s="494">
        <v>261.70800000000003</v>
      </c>
      <c r="P213" s="494">
        <v>267.66199999999998</v>
      </c>
      <c r="Q213" s="494">
        <v>274.995</v>
      </c>
      <c r="R213" s="494">
        <v>280.21699999999998</v>
      </c>
    </row>
    <row r="214" spans="2:18" ht="15.75" x14ac:dyDescent="0.25">
      <c r="B214" s="493">
        <v>212</v>
      </c>
      <c r="C214" s="494">
        <v>246.96799999999999</v>
      </c>
      <c r="D214" s="494">
        <v>262.82100000000003</v>
      </c>
      <c r="E214" s="494">
        <v>281.36700000000002</v>
      </c>
      <c r="F214" s="145"/>
      <c r="G214" s="493">
        <v>212</v>
      </c>
      <c r="H214" s="494">
        <v>162.71799999999999</v>
      </c>
      <c r="I214" s="494">
        <v>173.56800000000001</v>
      </c>
      <c r="J214" s="494">
        <v>229.107</v>
      </c>
      <c r="K214" s="494">
        <v>238.78</v>
      </c>
      <c r="L214" s="494">
        <v>246.96799999999999</v>
      </c>
      <c r="M214" s="494">
        <v>254.21799999999999</v>
      </c>
      <c r="N214" s="494">
        <v>256.40199999999999</v>
      </c>
      <c r="O214" s="494">
        <v>262.82100000000003</v>
      </c>
      <c r="P214" s="494">
        <v>268.78800000000001</v>
      </c>
      <c r="Q214" s="494">
        <v>276.13499999999999</v>
      </c>
      <c r="R214" s="494">
        <v>281.36700000000002</v>
      </c>
    </row>
    <row r="215" spans="2:18" ht="15.75" x14ac:dyDescent="0.25">
      <c r="B215" s="493">
        <v>213</v>
      </c>
      <c r="C215" s="494">
        <v>248.048</v>
      </c>
      <c r="D215" s="494">
        <v>263.93400000000003</v>
      </c>
      <c r="E215" s="494">
        <v>282.517</v>
      </c>
      <c r="F215" s="145"/>
      <c r="G215" s="493">
        <v>213</v>
      </c>
      <c r="H215" s="494">
        <v>163.59299999999999</v>
      </c>
      <c r="I215" s="494">
        <v>174.47300000000001</v>
      </c>
      <c r="J215" s="494">
        <v>230.148</v>
      </c>
      <c r="K215" s="494">
        <v>239.84200000000001</v>
      </c>
      <c r="L215" s="494">
        <v>248.048</v>
      </c>
      <c r="M215" s="494">
        <v>255.31299999999999</v>
      </c>
      <c r="N215" s="494">
        <v>257.50200000000001</v>
      </c>
      <c r="O215" s="494">
        <v>263.93400000000003</v>
      </c>
      <c r="P215" s="494">
        <v>269.91199999999998</v>
      </c>
      <c r="Q215" s="494">
        <v>277.27499999999998</v>
      </c>
      <c r="R215" s="494">
        <v>282.517</v>
      </c>
    </row>
    <row r="216" spans="2:18" ht="15.75" x14ac:dyDescent="0.25">
      <c r="B216" s="493">
        <v>214</v>
      </c>
      <c r="C216" s="494">
        <v>249.12799999999999</v>
      </c>
      <c r="D216" s="494">
        <v>265.04700000000003</v>
      </c>
      <c r="E216" s="494">
        <v>283.666</v>
      </c>
      <c r="F216" s="145"/>
      <c r="G216" s="493">
        <v>214</v>
      </c>
      <c r="H216" s="494">
        <v>164.46899999999999</v>
      </c>
      <c r="I216" s="494">
        <v>175.37799999999999</v>
      </c>
      <c r="J216" s="494">
        <v>231.18899999999999</v>
      </c>
      <c r="K216" s="494">
        <v>240.904</v>
      </c>
      <c r="L216" s="494">
        <v>249.12799999999999</v>
      </c>
      <c r="M216" s="494">
        <v>256.40800000000002</v>
      </c>
      <c r="N216" s="494">
        <v>258.601</v>
      </c>
      <c r="O216" s="494">
        <v>265.04700000000003</v>
      </c>
      <c r="P216" s="494">
        <v>271.03699999999998</v>
      </c>
      <c r="Q216" s="494">
        <v>278.41399999999999</v>
      </c>
      <c r="R216" s="494">
        <v>283.666</v>
      </c>
    </row>
    <row r="217" spans="2:18" ht="15.75" x14ac:dyDescent="0.25">
      <c r="B217" s="493">
        <v>215</v>
      </c>
      <c r="C217" s="494">
        <v>250.20699999999999</v>
      </c>
      <c r="D217" s="494">
        <v>266.15899999999999</v>
      </c>
      <c r="E217" s="494">
        <v>284.815</v>
      </c>
      <c r="F217" s="145"/>
      <c r="G217" s="493">
        <v>215</v>
      </c>
      <c r="H217" s="494">
        <v>165.34399999999999</v>
      </c>
      <c r="I217" s="494">
        <v>176.28299999999999</v>
      </c>
      <c r="J217" s="494">
        <v>232.23</v>
      </c>
      <c r="K217" s="494">
        <v>241.96600000000001</v>
      </c>
      <c r="L217" s="494">
        <v>250.20699999999999</v>
      </c>
      <c r="M217" s="494">
        <v>257.50299999999999</v>
      </c>
      <c r="N217" s="494">
        <v>259.70100000000002</v>
      </c>
      <c r="O217" s="494">
        <v>266.15899999999999</v>
      </c>
      <c r="P217" s="494">
        <v>272.16199999999998</v>
      </c>
      <c r="Q217" s="494">
        <v>279.553</v>
      </c>
      <c r="R217" s="494">
        <v>284.815</v>
      </c>
    </row>
    <row r="218" spans="2:18" ht="15.75" x14ac:dyDescent="0.25">
      <c r="B218" s="493">
        <v>216</v>
      </c>
      <c r="C218" s="494">
        <v>251.286</v>
      </c>
      <c r="D218" s="494">
        <v>267.27100000000002</v>
      </c>
      <c r="E218" s="494">
        <v>285.964</v>
      </c>
      <c r="F218" s="145"/>
      <c r="G218" s="493">
        <v>216</v>
      </c>
      <c r="H218" s="494">
        <v>166.22</v>
      </c>
      <c r="I218" s="494">
        <v>177.18899999999999</v>
      </c>
      <c r="J218" s="494">
        <v>233.27</v>
      </c>
      <c r="K218" s="494">
        <v>243.02799999999999</v>
      </c>
      <c r="L218" s="494">
        <v>251.286</v>
      </c>
      <c r="M218" s="494">
        <v>258.59699999999998</v>
      </c>
      <c r="N218" s="494">
        <v>260.8</v>
      </c>
      <c r="O218" s="494">
        <v>267.27100000000002</v>
      </c>
      <c r="P218" s="494">
        <v>273.286</v>
      </c>
      <c r="Q218" s="494">
        <v>280.69200000000001</v>
      </c>
      <c r="R218" s="494">
        <v>285.964</v>
      </c>
    </row>
    <row r="219" spans="2:18" ht="15.75" x14ac:dyDescent="0.25">
      <c r="B219" s="493">
        <v>217</v>
      </c>
      <c r="C219" s="494">
        <v>252.36500000000001</v>
      </c>
      <c r="D219" s="494">
        <v>268.38299999999998</v>
      </c>
      <c r="E219" s="494">
        <v>287.11200000000002</v>
      </c>
      <c r="F219" s="145"/>
      <c r="G219" s="493">
        <v>217</v>
      </c>
      <c r="H219" s="494">
        <v>167.096</v>
      </c>
      <c r="I219" s="494">
        <v>178.095</v>
      </c>
      <c r="J219" s="494">
        <v>234.31100000000001</v>
      </c>
      <c r="K219" s="494">
        <v>244.09</v>
      </c>
      <c r="L219" s="494">
        <v>252.36500000000001</v>
      </c>
      <c r="M219" s="494">
        <v>259.69099999999997</v>
      </c>
      <c r="N219" s="494">
        <v>261.89800000000002</v>
      </c>
      <c r="O219" s="494">
        <v>268.38299999999998</v>
      </c>
      <c r="P219" s="494">
        <v>274.40899999999999</v>
      </c>
      <c r="Q219" s="494">
        <v>281.83</v>
      </c>
      <c r="R219" s="494">
        <v>287.11200000000002</v>
      </c>
    </row>
    <row r="220" spans="2:18" ht="15.75" x14ac:dyDescent="0.25">
      <c r="B220" s="493">
        <v>218</v>
      </c>
      <c r="C220" s="494">
        <v>253.44399999999999</v>
      </c>
      <c r="D220" s="494">
        <v>269.495</v>
      </c>
      <c r="E220" s="494">
        <v>288.26100000000002</v>
      </c>
      <c r="F220" s="145"/>
      <c r="G220" s="493">
        <v>218</v>
      </c>
      <c r="H220" s="494">
        <v>167.97300000000001</v>
      </c>
      <c r="I220" s="494">
        <v>179.001</v>
      </c>
      <c r="J220" s="494">
        <v>235.351</v>
      </c>
      <c r="K220" s="494">
        <v>245.15100000000001</v>
      </c>
      <c r="L220" s="494">
        <v>253.44399999999999</v>
      </c>
      <c r="M220" s="494">
        <v>260.78500000000003</v>
      </c>
      <c r="N220" s="494">
        <v>262.99700000000001</v>
      </c>
      <c r="O220" s="494">
        <v>269.495</v>
      </c>
      <c r="P220" s="494">
        <v>275.53300000000002</v>
      </c>
      <c r="Q220" s="494">
        <v>282.96800000000002</v>
      </c>
      <c r="R220" s="494">
        <v>288.26100000000002</v>
      </c>
    </row>
    <row r="221" spans="2:18" ht="15.75" x14ac:dyDescent="0.25">
      <c r="B221" s="493">
        <v>219</v>
      </c>
      <c r="C221" s="494">
        <v>254.523</v>
      </c>
      <c r="D221" s="494">
        <v>270.60599999999999</v>
      </c>
      <c r="E221" s="494">
        <v>289.40800000000002</v>
      </c>
      <c r="F221" s="145"/>
      <c r="G221" s="493">
        <v>219</v>
      </c>
      <c r="H221" s="494">
        <v>168.85</v>
      </c>
      <c r="I221" s="494">
        <v>179.90700000000001</v>
      </c>
      <c r="J221" s="494">
        <v>236.39099999999999</v>
      </c>
      <c r="K221" s="494">
        <v>246.21299999999999</v>
      </c>
      <c r="L221" s="494">
        <v>254.523</v>
      </c>
      <c r="M221" s="494">
        <v>261.87900000000002</v>
      </c>
      <c r="N221" s="494">
        <v>264.09500000000003</v>
      </c>
      <c r="O221" s="494">
        <v>270.60599999999999</v>
      </c>
      <c r="P221" s="494">
        <v>276.65600000000001</v>
      </c>
      <c r="Q221" s="494">
        <v>284.10599999999999</v>
      </c>
      <c r="R221" s="494">
        <v>289.40800000000002</v>
      </c>
    </row>
    <row r="222" spans="2:18" ht="15.75" x14ac:dyDescent="0.25">
      <c r="B222" s="493">
        <v>220</v>
      </c>
      <c r="C222" s="494">
        <v>255.602</v>
      </c>
      <c r="D222" s="494">
        <v>271.71699999999998</v>
      </c>
      <c r="E222" s="494">
        <v>290.55599999999998</v>
      </c>
      <c r="F222" s="145"/>
      <c r="G222" s="493">
        <v>220</v>
      </c>
      <c r="H222" s="494">
        <v>169.727</v>
      </c>
      <c r="I222" s="494">
        <v>180.81299999999999</v>
      </c>
      <c r="J222" s="494">
        <v>237.43199999999999</v>
      </c>
      <c r="K222" s="494">
        <v>247.274</v>
      </c>
      <c r="L222" s="494">
        <v>255.602</v>
      </c>
      <c r="M222" s="494">
        <v>262.97300000000001</v>
      </c>
      <c r="N222" s="494">
        <v>265.19299999999998</v>
      </c>
      <c r="O222" s="494">
        <v>271.71699999999998</v>
      </c>
      <c r="P222" s="494">
        <v>277.779</v>
      </c>
      <c r="Q222" s="494">
        <v>285.24299999999999</v>
      </c>
      <c r="R222" s="494">
        <v>290.55599999999998</v>
      </c>
    </row>
    <row r="223" spans="2:18" ht="15.75" x14ac:dyDescent="0.25">
      <c r="B223" s="493">
        <v>221</v>
      </c>
      <c r="C223" s="494">
        <v>256.68</v>
      </c>
      <c r="D223" s="494">
        <v>272.82799999999997</v>
      </c>
      <c r="E223" s="494">
        <v>291.70299999999997</v>
      </c>
      <c r="F223" s="145"/>
      <c r="G223" s="493">
        <v>221</v>
      </c>
      <c r="H223" s="494">
        <v>170.60400000000001</v>
      </c>
      <c r="I223" s="494">
        <v>181.72</v>
      </c>
      <c r="J223" s="494">
        <v>238.47200000000001</v>
      </c>
      <c r="K223" s="494">
        <v>248.33500000000001</v>
      </c>
      <c r="L223" s="494">
        <v>256.68</v>
      </c>
      <c r="M223" s="494">
        <v>264.06599999999997</v>
      </c>
      <c r="N223" s="494">
        <v>266.291</v>
      </c>
      <c r="O223" s="494">
        <v>272.82799999999997</v>
      </c>
      <c r="P223" s="494">
        <v>278.90199999999999</v>
      </c>
      <c r="Q223" s="494">
        <v>286.38</v>
      </c>
      <c r="R223" s="494">
        <v>291.70299999999997</v>
      </c>
    </row>
    <row r="224" spans="2:18" ht="15.75" x14ac:dyDescent="0.25">
      <c r="B224" s="493">
        <v>222</v>
      </c>
      <c r="C224" s="494">
        <v>257.75799999999998</v>
      </c>
      <c r="D224" s="494">
        <v>273.93900000000002</v>
      </c>
      <c r="E224" s="494">
        <v>292.85000000000002</v>
      </c>
      <c r="F224" s="145"/>
      <c r="G224" s="493">
        <v>222</v>
      </c>
      <c r="H224" s="494">
        <v>171.482</v>
      </c>
      <c r="I224" s="494">
        <v>182.62700000000001</v>
      </c>
      <c r="J224" s="494">
        <v>239.512</v>
      </c>
      <c r="K224" s="494">
        <v>249.39599999999999</v>
      </c>
      <c r="L224" s="494">
        <v>257.75799999999998</v>
      </c>
      <c r="M224" s="494">
        <v>265.15899999999999</v>
      </c>
      <c r="N224" s="494">
        <v>267.38900000000001</v>
      </c>
      <c r="O224" s="494">
        <v>273.93900000000002</v>
      </c>
      <c r="P224" s="494">
        <v>280.024</v>
      </c>
      <c r="Q224" s="494">
        <v>287.517</v>
      </c>
      <c r="R224" s="494">
        <v>292.85000000000002</v>
      </c>
    </row>
    <row r="225" spans="2:18" ht="15.75" x14ac:dyDescent="0.25">
      <c r="B225" s="493">
        <v>223</v>
      </c>
      <c r="C225" s="494">
        <v>258.83699999999999</v>
      </c>
      <c r="D225" s="494">
        <v>275.04899999999998</v>
      </c>
      <c r="E225" s="494">
        <v>293.99599999999998</v>
      </c>
      <c r="F225" s="145"/>
      <c r="G225" s="493">
        <v>223</v>
      </c>
      <c r="H225" s="494">
        <v>172.36</v>
      </c>
      <c r="I225" s="494">
        <v>183.53399999999999</v>
      </c>
      <c r="J225" s="494">
        <v>240.55199999999999</v>
      </c>
      <c r="K225" s="494">
        <v>250.45699999999999</v>
      </c>
      <c r="L225" s="494">
        <v>258.83699999999999</v>
      </c>
      <c r="M225" s="494">
        <v>266.25200000000001</v>
      </c>
      <c r="N225" s="494">
        <v>268.48599999999999</v>
      </c>
      <c r="O225" s="494">
        <v>275.04899999999998</v>
      </c>
      <c r="P225" s="494">
        <v>281.14600000000002</v>
      </c>
      <c r="Q225" s="494">
        <v>288.65300000000002</v>
      </c>
      <c r="R225" s="494">
        <v>293.99599999999998</v>
      </c>
    </row>
    <row r="226" spans="2:18" ht="15.75" x14ac:dyDescent="0.25">
      <c r="B226" s="493">
        <v>224</v>
      </c>
      <c r="C226" s="494">
        <v>259.91399999999999</v>
      </c>
      <c r="D226" s="494">
        <v>276.15899999999999</v>
      </c>
      <c r="E226" s="494">
        <v>295.142</v>
      </c>
      <c r="F226" s="145"/>
      <c r="G226" s="493">
        <v>224</v>
      </c>
      <c r="H226" s="494">
        <v>173.238</v>
      </c>
      <c r="I226" s="494">
        <v>184.441</v>
      </c>
      <c r="J226" s="494">
        <v>241.59200000000001</v>
      </c>
      <c r="K226" s="494">
        <v>251.517</v>
      </c>
      <c r="L226" s="494">
        <v>259.91399999999999</v>
      </c>
      <c r="M226" s="494">
        <v>267.34500000000003</v>
      </c>
      <c r="N226" s="494">
        <v>269.584</v>
      </c>
      <c r="O226" s="494">
        <v>276.15899999999999</v>
      </c>
      <c r="P226" s="494">
        <v>282.26799999999997</v>
      </c>
      <c r="Q226" s="494">
        <v>289.78899999999999</v>
      </c>
      <c r="R226" s="494">
        <v>295.142</v>
      </c>
    </row>
    <row r="227" spans="2:18" ht="15.75" x14ac:dyDescent="0.25">
      <c r="B227" s="493">
        <v>225</v>
      </c>
      <c r="C227" s="494">
        <v>260.99200000000002</v>
      </c>
      <c r="D227" s="494">
        <v>277.26900000000001</v>
      </c>
      <c r="E227" s="494">
        <v>296.28800000000001</v>
      </c>
      <c r="F227" s="145"/>
      <c r="G227" s="493">
        <v>225</v>
      </c>
      <c r="H227" s="494">
        <v>174.11600000000001</v>
      </c>
      <c r="I227" s="494">
        <v>185.34800000000001</v>
      </c>
      <c r="J227" s="494">
        <v>242.631</v>
      </c>
      <c r="K227" s="494">
        <v>252.578</v>
      </c>
      <c r="L227" s="494">
        <v>260.99200000000002</v>
      </c>
      <c r="M227" s="494">
        <v>268.43799999999999</v>
      </c>
      <c r="N227" s="494">
        <v>270.68099999999998</v>
      </c>
      <c r="O227" s="494">
        <v>277.26900000000001</v>
      </c>
      <c r="P227" s="494">
        <v>283.39</v>
      </c>
      <c r="Q227" s="494">
        <v>290.92500000000001</v>
      </c>
      <c r="R227" s="494">
        <v>296.28800000000001</v>
      </c>
    </row>
    <row r="228" spans="2:18" ht="15.75" x14ac:dyDescent="0.25">
      <c r="B228" s="493">
        <v>226</v>
      </c>
      <c r="C228" s="494">
        <v>262.07</v>
      </c>
      <c r="D228" s="494">
        <v>278.37900000000002</v>
      </c>
      <c r="E228" s="494">
        <v>297.43299999999999</v>
      </c>
      <c r="F228" s="145"/>
      <c r="G228" s="493">
        <v>226</v>
      </c>
      <c r="H228" s="494">
        <v>174.995</v>
      </c>
      <c r="I228" s="494">
        <v>186.256</v>
      </c>
      <c r="J228" s="494">
        <v>243.67099999999999</v>
      </c>
      <c r="K228" s="494">
        <v>253.63800000000001</v>
      </c>
      <c r="L228" s="494">
        <v>262.07</v>
      </c>
      <c r="M228" s="494">
        <v>269.52999999999997</v>
      </c>
      <c r="N228" s="494">
        <v>271.77699999999999</v>
      </c>
      <c r="O228" s="494">
        <v>278.37900000000002</v>
      </c>
      <c r="P228" s="494">
        <v>284.51100000000002</v>
      </c>
      <c r="Q228" s="494">
        <v>292.06099999999998</v>
      </c>
      <c r="R228" s="494">
        <v>297.43299999999999</v>
      </c>
    </row>
    <row r="229" spans="2:18" ht="15.75" x14ac:dyDescent="0.25">
      <c r="B229" s="493">
        <v>227</v>
      </c>
      <c r="C229" s="494">
        <v>263.14699999999999</v>
      </c>
      <c r="D229" s="494">
        <v>279.488</v>
      </c>
      <c r="E229" s="494">
        <v>298.57900000000001</v>
      </c>
      <c r="F229" s="145"/>
      <c r="G229" s="493">
        <v>227</v>
      </c>
      <c r="H229" s="494">
        <v>175.874</v>
      </c>
      <c r="I229" s="494">
        <v>187.16399999999999</v>
      </c>
      <c r="J229" s="494">
        <v>244.71100000000001</v>
      </c>
      <c r="K229" s="494">
        <v>254.69900000000001</v>
      </c>
      <c r="L229" s="494">
        <v>263.14699999999999</v>
      </c>
      <c r="M229" s="494">
        <v>270.62200000000001</v>
      </c>
      <c r="N229" s="494">
        <v>272.87400000000002</v>
      </c>
      <c r="O229" s="494">
        <v>279.488</v>
      </c>
      <c r="P229" s="494">
        <v>285.63200000000001</v>
      </c>
      <c r="Q229" s="494">
        <v>293.19600000000003</v>
      </c>
      <c r="R229" s="494">
        <v>298.57900000000001</v>
      </c>
    </row>
    <row r="230" spans="2:18" ht="15.75" x14ac:dyDescent="0.25">
      <c r="B230" s="493">
        <v>228</v>
      </c>
      <c r="C230" s="494">
        <v>264.22399999999999</v>
      </c>
      <c r="D230" s="494">
        <v>280.59699999999998</v>
      </c>
      <c r="E230" s="494">
        <v>299.72300000000001</v>
      </c>
      <c r="F230" s="145"/>
      <c r="G230" s="493">
        <v>228</v>
      </c>
      <c r="H230" s="494">
        <v>176.75299999999999</v>
      </c>
      <c r="I230" s="494">
        <v>188.072</v>
      </c>
      <c r="J230" s="494">
        <v>245.75</v>
      </c>
      <c r="K230" s="494">
        <v>255.75899999999999</v>
      </c>
      <c r="L230" s="494">
        <v>264.22399999999999</v>
      </c>
      <c r="M230" s="494">
        <v>271.714</v>
      </c>
      <c r="N230" s="494">
        <v>273.97000000000003</v>
      </c>
      <c r="O230" s="494">
        <v>280.59699999999998</v>
      </c>
      <c r="P230" s="494">
        <v>286.75299999999999</v>
      </c>
      <c r="Q230" s="494">
        <v>294.33100000000002</v>
      </c>
      <c r="R230" s="494">
        <v>299.72300000000001</v>
      </c>
    </row>
    <row r="231" spans="2:18" ht="15.75" x14ac:dyDescent="0.25">
      <c r="B231" s="493">
        <v>229</v>
      </c>
      <c r="C231" s="494">
        <v>265.30099999999999</v>
      </c>
      <c r="D231" s="494">
        <v>281.70600000000002</v>
      </c>
      <c r="E231" s="494">
        <v>300.86799999999999</v>
      </c>
      <c r="F231" s="145"/>
      <c r="G231" s="493">
        <v>229</v>
      </c>
      <c r="H231" s="494">
        <v>177.63300000000001</v>
      </c>
      <c r="I231" s="494">
        <v>188.98</v>
      </c>
      <c r="J231" s="494">
        <v>246.79</v>
      </c>
      <c r="K231" s="494">
        <v>256.81900000000002</v>
      </c>
      <c r="L231" s="494">
        <v>265.30099999999999</v>
      </c>
      <c r="M231" s="494">
        <v>272.80599999999998</v>
      </c>
      <c r="N231" s="494">
        <v>275.06599999999997</v>
      </c>
      <c r="O231" s="494">
        <v>281.70600000000002</v>
      </c>
      <c r="P231" s="494">
        <v>287.87400000000002</v>
      </c>
      <c r="Q231" s="494">
        <v>295.46499999999997</v>
      </c>
      <c r="R231" s="494">
        <v>300.86799999999999</v>
      </c>
    </row>
    <row r="232" spans="2:18" ht="15.75" x14ac:dyDescent="0.25">
      <c r="B232" s="493">
        <v>230</v>
      </c>
      <c r="C232" s="494">
        <v>266.37799999999999</v>
      </c>
      <c r="D232" s="494">
        <v>282.81400000000002</v>
      </c>
      <c r="E232" s="494">
        <v>302.012</v>
      </c>
      <c r="F232" s="145"/>
      <c r="G232" s="493">
        <v>230</v>
      </c>
      <c r="H232" s="494">
        <v>178.512</v>
      </c>
      <c r="I232" s="494">
        <v>189.88900000000001</v>
      </c>
      <c r="J232" s="494">
        <v>247.82900000000001</v>
      </c>
      <c r="K232" s="494">
        <v>257.87900000000002</v>
      </c>
      <c r="L232" s="494">
        <v>266.37799999999999</v>
      </c>
      <c r="M232" s="494">
        <v>273.89800000000002</v>
      </c>
      <c r="N232" s="494">
        <v>276.16199999999998</v>
      </c>
      <c r="O232" s="494">
        <v>282.81400000000002</v>
      </c>
      <c r="P232" s="494">
        <v>288.99400000000003</v>
      </c>
      <c r="Q232" s="494">
        <v>296.60000000000002</v>
      </c>
      <c r="R232" s="494">
        <v>302.012</v>
      </c>
    </row>
    <row r="233" spans="2:18" ht="15.75" x14ac:dyDescent="0.25">
      <c r="B233" s="493">
        <v>231</v>
      </c>
      <c r="C233" s="494">
        <v>267.45499999999998</v>
      </c>
      <c r="D233" s="494">
        <v>283.923</v>
      </c>
      <c r="E233" s="494">
        <v>303.15600000000001</v>
      </c>
      <c r="F233" s="145"/>
      <c r="G233" s="493">
        <v>231</v>
      </c>
      <c r="H233" s="494">
        <v>179.392</v>
      </c>
      <c r="I233" s="494">
        <v>190.797</v>
      </c>
      <c r="J233" s="494">
        <v>248.86799999999999</v>
      </c>
      <c r="K233" s="494">
        <v>258.93900000000002</v>
      </c>
      <c r="L233" s="494">
        <v>267.45499999999998</v>
      </c>
      <c r="M233" s="494">
        <v>274.98899999999998</v>
      </c>
      <c r="N233" s="494">
        <v>277.25799999999998</v>
      </c>
      <c r="O233" s="494">
        <v>283.923</v>
      </c>
      <c r="P233" s="494">
        <v>290.11399999999998</v>
      </c>
      <c r="Q233" s="494">
        <v>297.73399999999998</v>
      </c>
      <c r="R233" s="494">
        <v>303.15600000000001</v>
      </c>
    </row>
    <row r="234" spans="2:18" ht="15.75" x14ac:dyDescent="0.25">
      <c r="B234" s="493">
        <v>232</v>
      </c>
      <c r="C234" s="494">
        <v>268.53100000000001</v>
      </c>
      <c r="D234" s="494">
        <v>285.03100000000001</v>
      </c>
      <c r="E234" s="494">
        <v>304.29899999999998</v>
      </c>
      <c r="F234" s="145"/>
      <c r="G234" s="493">
        <v>232</v>
      </c>
      <c r="H234" s="494">
        <v>180.273</v>
      </c>
      <c r="I234" s="494">
        <v>191.70599999999999</v>
      </c>
      <c r="J234" s="494">
        <v>249.90799999999999</v>
      </c>
      <c r="K234" s="494">
        <v>259.99799999999999</v>
      </c>
      <c r="L234" s="494">
        <v>268.53100000000001</v>
      </c>
      <c r="M234" s="494">
        <v>276.08</v>
      </c>
      <c r="N234" s="494">
        <v>278.35399999999998</v>
      </c>
      <c r="O234" s="494">
        <v>285.03100000000001</v>
      </c>
      <c r="P234" s="494">
        <v>291.23399999999998</v>
      </c>
      <c r="Q234" s="494">
        <v>298.86700000000002</v>
      </c>
      <c r="R234" s="494">
        <v>304.29899999999998</v>
      </c>
    </row>
    <row r="235" spans="2:18" ht="15.75" x14ac:dyDescent="0.25">
      <c r="B235" s="493">
        <v>233</v>
      </c>
      <c r="C235" s="494">
        <v>269.608</v>
      </c>
      <c r="D235" s="494">
        <v>286.13900000000001</v>
      </c>
      <c r="E235" s="494">
        <v>305.44299999999998</v>
      </c>
      <c r="F235" s="145"/>
      <c r="G235" s="493">
        <v>233</v>
      </c>
      <c r="H235" s="494">
        <v>181.15299999999999</v>
      </c>
      <c r="I235" s="494">
        <v>192.61500000000001</v>
      </c>
      <c r="J235" s="494">
        <v>250.947</v>
      </c>
      <c r="K235" s="494">
        <v>261.05799999999999</v>
      </c>
      <c r="L235" s="494">
        <v>269.608</v>
      </c>
      <c r="M235" s="494">
        <v>277.17099999999999</v>
      </c>
      <c r="N235" s="494">
        <v>279.44900000000001</v>
      </c>
      <c r="O235" s="494">
        <v>286.13900000000001</v>
      </c>
      <c r="P235" s="494">
        <v>292.35300000000001</v>
      </c>
      <c r="Q235" s="494">
        <v>300.00099999999998</v>
      </c>
      <c r="R235" s="494">
        <v>305.44299999999998</v>
      </c>
    </row>
    <row r="236" spans="2:18" ht="15.75" x14ac:dyDescent="0.25">
      <c r="B236" s="493">
        <v>234</v>
      </c>
      <c r="C236" s="494">
        <v>270.68400000000003</v>
      </c>
      <c r="D236" s="494">
        <v>287.24700000000001</v>
      </c>
      <c r="E236" s="494">
        <v>306.58600000000001</v>
      </c>
      <c r="F236" s="145"/>
      <c r="G236" s="493">
        <v>234</v>
      </c>
      <c r="H236" s="494">
        <v>182.03399999999999</v>
      </c>
      <c r="I236" s="494">
        <v>193.524</v>
      </c>
      <c r="J236" s="494">
        <v>251.98599999999999</v>
      </c>
      <c r="K236" s="494">
        <v>262.11700000000002</v>
      </c>
      <c r="L236" s="494">
        <v>270.68400000000003</v>
      </c>
      <c r="M236" s="494">
        <v>278.262</v>
      </c>
      <c r="N236" s="494">
        <v>280.54399999999998</v>
      </c>
      <c r="O236" s="494">
        <v>287.24700000000001</v>
      </c>
      <c r="P236" s="494">
        <v>293.47199999999998</v>
      </c>
      <c r="Q236" s="494">
        <v>301.13400000000001</v>
      </c>
      <c r="R236" s="494">
        <v>306.58600000000001</v>
      </c>
    </row>
    <row r="237" spans="2:18" ht="15.75" x14ac:dyDescent="0.25">
      <c r="B237" s="493">
        <v>235</v>
      </c>
      <c r="C237" s="494">
        <v>271.76</v>
      </c>
      <c r="D237" s="494">
        <v>288.35399999999998</v>
      </c>
      <c r="E237" s="494">
        <v>307.72800000000001</v>
      </c>
      <c r="F237" s="145"/>
      <c r="G237" s="493">
        <v>235</v>
      </c>
      <c r="H237" s="494">
        <v>182.91499999999999</v>
      </c>
      <c r="I237" s="494">
        <v>194.434</v>
      </c>
      <c r="J237" s="494">
        <v>253.02500000000001</v>
      </c>
      <c r="K237" s="494">
        <v>263.17599999999999</v>
      </c>
      <c r="L237" s="494">
        <v>271.76</v>
      </c>
      <c r="M237" s="494">
        <v>279.35199999999998</v>
      </c>
      <c r="N237" s="494">
        <v>281.63900000000001</v>
      </c>
      <c r="O237" s="494">
        <v>288.35399999999998</v>
      </c>
      <c r="P237" s="494">
        <v>294.59100000000001</v>
      </c>
      <c r="Q237" s="494">
        <v>302.267</v>
      </c>
      <c r="R237" s="494">
        <v>307.72800000000001</v>
      </c>
    </row>
    <row r="238" spans="2:18" ht="15.75" x14ac:dyDescent="0.25">
      <c r="B238" s="493">
        <v>236</v>
      </c>
      <c r="C238" s="494">
        <v>272.83600000000001</v>
      </c>
      <c r="D238" s="494">
        <v>289.46100000000001</v>
      </c>
      <c r="E238" s="494">
        <v>308.87099999999998</v>
      </c>
      <c r="F238" s="145"/>
      <c r="G238" s="493">
        <v>236</v>
      </c>
      <c r="H238" s="494">
        <v>183.79599999999999</v>
      </c>
      <c r="I238" s="494">
        <v>195.34299999999999</v>
      </c>
      <c r="J238" s="494">
        <v>254.06299999999999</v>
      </c>
      <c r="K238" s="494">
        <v>264.23500000000001</v>
      </c>
      <c r="L238" s="494">
        <v>272.83600000000001</v>
      </c>
      <c r="M238" s="494">
        <v>280.44299999999998</v>
      </c>
      <c r="N238" s="494">
        <v>282.73399999999998</v>
      </c>
      <c r="O238" s="494">
        <v>289.46100000000001</v>
      </c>
      <c r="P238" s="494">
        <v>295.70999999999998</v>
      </c>
      <c r="Q238" s="494">
        <v>303.39999999999998</v>
      </c>
      <c r="R238" s="494">
        <v>308.87099999999998</v>
      </c>
    </row>
    <row r="239" spans="2:18" ht="15.75" x14ac:dyDescent="0.25">
      <c r="B239" s="493">
        <v>237</v>
      </c>
      <c r="C239" s="494">
        <v>273.911</v>
      </c>
      <c r="D239" s="494">
        <v>290.56799999999998</v>
      </c>
      <c r="E239" s="494">
        <v>310.01299999999998</v>
      </c>
      <c r="F239" s="145"/>
      <c r="G239" s="493">
        <v>237</v>
      </c>
      <c r="H239" s="494">
        <v>184.678</v>
      </c>
      <c r="I239" s="494">
        <v>196.25299999999999</v>
      </c>
      <c r="J239" s="494">
        <v>255.102</v>
      </c>
      <c r="K239" s="494">
        <v>265.29399999999998</v>
      </c>
      <c r="L239" s="494">
        <v>273.911</v>
      </c>
      <c r="M239" s="494">
        <v>281.53300000000002</v>
      </c>
      <c r="N239" s="494">
        <v>283.82799999999997</v>
      </c>
      <c r="O239" s="494">
        <v>290.56799999999998</v>
      </c>
      <c r="P239" s="494">
        <v>296.82799999999997</v>
      </c>
      <c r="Q239" s="494">
        <v>304.53199999999998</v>
      </c>
      <c r="R239" s="494">
        <v>310.01299999999998</v>
      </c>
    </row>
    <row r="240" spans="2:18" ht="15.75" x14ac:dyDescent="0.25">
      <c r="B240" s="493">
        <v>238</v>
      </c>
      <c r="C240" s="494">
        <v>274.98700000000002</v>
      </c>
      <c r="D240" s="494">
        <v>291.67500000000001</v>
      </c>
      <c r="E240" s="494">
        <v>311.154</v>
      </c>
      <c r="F240" s="145"/>
      <c r="G240" s="493">
        <v>238</v>
      </c>
      <c r="H240" s="494">
        <v>185.56</v>
      </c>
      <c r="I240" s="494">
        <v>197.16300000000001</v>
      </c>
      <c r="J240" s="494">
        <v>256.14100000000002</v>
      </c>
      <c r="K240" s="494">
        <v>266.35300000000001</v>
      </c>
      <c r="L240" s="494">
        <v>274.98700000000002</v>
      </c>
      <c r="M240" s="494">
        <v>282.62299999999999</v>
      </c>
      <c r="N240" s="494">
        <v>284.92200000000003</v>
      </c>
      <c r="O240" s="494">
        <v>291.67500000000001</v>
      </c>
      <c r="P240" s="494">
        <v>297.947</v>
      </c>
      <c r="Q240" s="494">
        <v>305.66399999999999</v>
      </c>
      <c r="R240" s="494">
        <v>311.154</v>
      </c>
    </row>
    <row r="241" spans="2:18" ht="15.75" x14ac:dyDescent="0.25">
      <c r="B241" s="493">
        <v>239</v>
      </c>
      <c r="C241" s="494">
        <v>276.06200000000001</v>
      </c>
      <c r="D241" s="494">
        <v>292.78199999999998</v>
      </c>
      <c r="E241" s="494">
        <v>312.29599999999999</v>
      </c>
      <c r="F241" s="145"/>
      <c r="G241" s="493">
        <v>239</v>
      </c>
      <c r="H241" s="494">
        <v>186.44200000000001</v>
      </c>
      <c r="I241" s="494">
        <v>198.07300000000001</v>
      </c>
      <c r="J241" s="494">
        <v>257.17899999999997</v>
      </c>
      <c r="K241" s="494">
        <v>267.41199999999998</v>
      </c>
      <c r="L241" s="494">
        <v>276.06200000000001</v>
      </c>
      <c r="M241" s="494">
        <v>283.71300000000002</v>
      </c>
      <c r="N241" s="494">
        <v>286.01600000000002</v>
      </c>
      <c r="O241" s="494">
        <v>292.78199999999998</v>
      </c>
      <c r="P241" s="494">
        <v>299.065</v>
      </c>
      <c r="Q241" s="494">
        <v>306.79599999999999</v>
      </c>
      <c r="R241" s="494">
        <v>312.29599999999999</v>
      </c>
    </row>
    <row r="242" spans="2:18" ht="15.75" x14ac:dyDescent="0.25">
      <c r="B242" s="493">
        <v>240</v>
      </c>
      <c r="C242" s="494">
        <v>277.13799999999998</v>
      </c>
      <c r="D242" s="494">
        <v>293.88799999999998</v>
      </c>
      <c r="E242" s="494">
        <v>313.43700000000001</v>
      </c>
      <c r="F242" s="145"/>
      <c r="G242" s="493">
        <v>240</v>
      </c>
      <c r="H242" s="494">
        <v>187.32400000000001</v>
      </c>
      <c r="I242" s="494">
        <v>198.98400000000001</v>
      </c>
      <c r="J242" s="494">
        <v>258.21800000000002</v>
      </c>
      <c r="K242" s="494">
        <v>268.471</v>
      </c>
      <c r="L242" s="494">
        <v>277.13799999999998</v>
      </c>
      <c r="M242" s="494">
        <v>284.80200000000002</v>
      </c>
      <c r="N242" s="494">
        <v>287.11</v>
      </c>
      <c r="O242" s="494">
        <v>293.88799999999998</v>
      </c>
      <c r="P242" s="494">
        <v>300.18200000000002</v>
      </c>
      <c r="Q242" s="494">
        <v>307.92700000000002</v>
      </c>
      <c r="R242" s="494">
        <v>313.43700000000001</v>
      </c>
    </row>
    <row r="243" spans="2:18" ht="15.75" x14ac:dyDescent="0.25">
      <c r="B243" s="493">
        <v>241</v>
      </c>
      <c r="C243" s="494">
        <v>278.21300000000002</v>
      </c>
      <c r="D243" s="494">
        <v>294.99400000000003</v>
      </c>
      <c r="E243" s="494">
        <v>314.57799999999997</v>
      </c>
      <c r="F243" s="145"/>
      <c r="G243" s="493">
        <v>241</v>
      </c>
      <c r="H243" s="494">
        <v>188.20699999999999</v>
      </c>
      <c r="I243" s="494">
        <v>199.89400000000001</v>
      </c>
      <c r="J243" s="494">
        <v>259.25599999999997</v>
      </c>
      <c r="K243" s="494">
        <v>269.529</v>
      </c>
      <c r="L243" s="494">
        <v>278.21300000000002</v>
      </c>
      <c r="M243" s="494">
        <v>285.892</v>
      </c>
      <c r="N243" s="494">
        <v>288.20400000000001</v>
      </c>
      <c r="O243" s="494">
        <v>294.99400000000003</v>
      </c>
      <c r="P243" s="494">
        <v>301.3</v>
      </c>
      <c r="Q243" s="494">
        <v>309.05799999999999</v>
      </c>
      <c r="R243" s="494">
        <v>314.57799999999997</v>
      </c>
    </row>
    <row r="244" spans="2:18" ht="15.75" x14ac:dyDescent="0.25">
      <c r="B244" s="493">
        <v>242</v>
      </c>
      <c r="C244" s="494">
        <v>279.28800000000001</v>
      </c>
      <c r="D244" s="494">
        <v>296.10000000000002</v>
      </c>
      <c r="E244" s="494">
        <v>315.71800000000002</v>
      </c>
      <c r="F244" s="145"/>
      <c r="G244" s="493">
        <v>242</v>
      </c>
      <c r="H244" s="494">
        <v>189.09</v>
      </c>
      <c r="I244" s="494">
        <v>200.80500000000001</v>
      </c>
      <c r="J244" s="494">
        <v>260.29500000000002</v>
      </c>
      <c r="K244" s="494">
        <v>270.58800000000002</v>
      </c>
      <c r="L244" s="494">
        <v>279.28800000000001</v>
      </c>
      <c r="M244" s="494">
        <v>286.98099999999999</v>
      </c>
      <c r="N244" s="494">
        <v>289.298</v>
      </c>
      <c r="O244" s="494">
        <v>296.10000000000002</v>
      </c>
      <c r="P244" s="494">
        <v>302.41699999999997</v>
      </c>
      <c r="Q244" s="494">
        <v>310.18900000000002</v>
      </c>
      <c r="R244" s="494">
        <v>315.71800000000002</v>
      </c>
    </row>
    <row r="245" spans="2:18" ht="15.75" x14ac:dyDescent="0.25">
      <c r="B245" s="493">
        <v>243</v>
      </c>
      <c r="C245" s="494">
        <v>280.36200000000002</v>
      </c>
      <c r="D245" s="494">
        <v>297.20600000000002</v>
      </c>
      <c r="E245" s="494">
        <v>316.85899999999998</v>
      </c>
      <c r="F245" s="145"/>
      <c r="G245" s="493">
        <v>243</v>
      </c>
      <c r="H245" s="494">
        <v>189.97300000000001</v>
      </c>
      <c r="I245" s="494">
        <v>201.71600000000001</v>
      </c>
      <c r="J245" s="494">
        <v>261.33300000000003</v>
      </c>
      <c r="K245" s="494">
        <v>271.64600000000002</v>
      </c>
      <c r="L245" s="494">
        <v>280.36200000000002</v>
      </c>
      <c r="M245" s="494">
        <v>288.07</v>
      </c>
      <c r="N245" s="494">
        <v>290.39100000000002</v>
      </c>
      <c r="O245" s="494">
        <v>297.20600000000002</v>
      </c>
      <c r="P245" s="494">
        <v>303.53399999999999</v>
      </c>
      <c r="Q245" s="494">
        <v>311.32</v>
      </c>
      <c r="R245" s="494">
        <v>316.85899999999998</v>
      </c>
    </row>
    <row r="246" spans="2:18" ht="15.75" x14ac:dyDescent="0.25">
      <c r="B246" s="493">
        <v>244</v>
      </c>
      <c r="C246" s="494">
        <v>281.43700000000001</v>
      </c>
      <c r="D246" s="494">
        <v>298.31099999999998</v>
      </c>
      <c r="E246" s="494">
        <v>317.99900000000002</v>
      </c>
      <c r="F246" s="145"/>
      <c r="G246" s="493">
        <v>244</v>
      </c>
      <c r="H246" s="494">
        <v>190.85599999999999</v>
      </c>
      <c r="I246" s="494">
        <v>202.62700000000001</v>
      </c>
      <c r="J246" s="494">
        <v>262.37099999999998</v>
      </c>
      <c r="K246" s="494">
        <v>272.70400000000001</v>
      </c>
      <c r="L246" s="494">
        <v>281.43700000000001</v>
      </c>
      <c r="M246" s="494">
        <v>289.15899999999999</v>
      </c>
      <c r="N246" s="494">
        <v>291.48399999999998</v>
      </c>
      <c r="O246" s="494">
        <v>298.31099999999998</v>
      </c>
      <c r="P246" s="494">
        <v>304.65100000000001</v>
      </c>
      <c r="Q246" s="494">
        <v>312.45</v>
      </c>
      <c r="R246" s="494">
        <v>317.99900000000002</v>
      </c>
    </row>
    <row r="247" spans="2:18" ht="15.75" x14ac:dyDescent="0.25">
      <c r="B247" s="493">
        <v>245</v>
      </c>
      <c r="C247" s="494">
        <v>282.51100000000002</v>
      </c>
      <c r="D247" s="494">
        <v>299.41699999999997</v>
      </c>
      <c r="E247" s="494">
        <v>319.13799999999998</v>
      </c>
      <c r="F247" s="145"/>
      <c r="G247" s="493">
        <v>245</v>
      </c>
      <c r="H247" s="494">
        <v>191.739</v>
      </c>
      <c r="I247" s="494">
        <v>203.53899999999999</v>
      </c>
      <c r="J247" s="494">
        <v>263.40899999999999</v>
      </c>
      <c r="K247" s="494">
        <v>273.762</v>
      </c>
      <c r="L247" s="494">
        <v>282.51100000000002</v>
      </c>
      <c r="M247" s="494">
        <v>290.24799999999999</v>
      </c>
      <c r="N247" s="494">
        <v>292.577</v>
      </c>
      <c r="O247" s="494">
        <v>299.41699999999997</v>
      </c>
      <c r="P247" s="494">
        <v>305.767</v>
      </c>
      <c r="Q247" s="494">
        <v>313.58</v>
      </c>
      <c r="R247" s="494">
        <v>319.13799999999998</v>
      </c>
    </row>
    <row r="248" spans="2:18" ht="15.75" x14ac:dyDescent="0.25">
      <c r="B248" s="493">
        <v>246</v>
      </c>
      <c r="C248" s="494">
        <v>283.58600000000001</v>
      </c>
      <c r="D248" s="494">
        <v>300.52199999999999</v>
      </c>
      <c r="E248" s="494">
        <v>320.27800000000002</v>
      </c>
      <c r="F248" s="145"/>
      <c r="G248" s="493">
        <v>246</v>
      </c>
      <c r="H248" s="494">
        <v>192.62299999999999</v>
      </c>
      <c r="I248" s="494">
        <v>204.45</v>
      </c>
      <c r="J248" s="494">
        <v>264.447</v>
      </c>
      <c r="K248" s="494">
        <v>274.82</v>
      </c>
      <c r="L248" s="494">
        <v>283.58600000000001</v>
      </c>
      <c r="M248" s="494">
        <v>291.33600000000001</v>
      </c>
      <c r="N248" s="494">
        <v>293.67</v>
      </c>
      <c r="O248" s="494">
        <v>300.52199999999999</v>
      </c>
      <c r="P248" s="494">
        <v>306.88299999999998</v>
      </c>
      <c r="Q248" s="494">
        <v>314.70999999999998</v>
      </c>
      <c r="R248" s="494">
        <v>320.27800000000002</v>
      </c>
    </row>
    <row r="249" spans="2:18" ht="15.75" x14ac:dyDescent="0.25">
      <c r="B249" s="493">
        <v>247</v>
      </c>
      <c r="C249" s="494">
        <v>284.66000000000003</v>
      </c>
      <c r="D249" s="494">
        <v>301.62599999999998</v>
      </c>
      <c r="E249" s="494">
        <v>321.41699999999997</v>
      </c>
      <c r="F249" s="145"/>
      <c r="G249" s="493">
        <v>247</v>
      </c>
      <c r="H249" s="494">
        <v>193.50700000000001</v>
      </c>
      <c r="I249" s="494">
        <v>205.36199999999999</v>
      </c>
      <c r="J249" s="494">
        <v>265.48500000000001</v>
      </c>
      <c r="K249" s="494">
        <v>275.87799999999999</v>
      </c>
      <c r="L249" s="494">
        <v>284.66000000000003</v>
      </c>
      <c r="M249" s="494">
        <v>292.42500000000001</v>
      </c>
      <c r="N249" s="494">
        <v>294.762</v>
      </c>
      <c r="O249" s="494">
        <v>301.62599999999998</v>
      </c>
      <c r="P249" s="494">
        <v>307.99900000000002</v>
      </c>
      <c r="Q249" s="494">
        <v>315.83999999999997</v>
      </c>
      <c r="R249" s="494">
        <v>321.41699999999997</v>
      </c>
    </row>
    <row r="250" spans="2:18" ht="15.75" x14ac:dyDescent="0.25">
      <c r="B250" s="493">
        <v>248</v>
      </c>
      <c r="C250" s="494">
        <v>285.73399999999998</v>
      </c>
      <c r="D250" s="494">
        <v>302.73099999999999</v>
      </c>
      <c r="E250" s="494">
        <v>322.55599999999998</v>
      </c>
      <c r="F250" s="145"/>
      <c r="G250" s="493">
        <v>248</v>
      </c>
      <c r="H250" s="494">
        <v>194.39099999999999</v>
      </c>
      <c r="I250" s="494">
        <v>206.274</v>
      </c>
      <c r="J250" s="494">
        <v>266.52300000000002</v>
      </c>
      <c r="K250" s="494">
        <v>276.935</v>
      </c>
      <c r="L250" s="494">
        <v>285.73399999999998</v>
      </c>
      <c r="M250" s="494">
        <v>293.51299999999998</v>
      </c>
      <c r="N250" s="494">
        <v>295.85500000000002</v>
      </c>
      <c r="O250" s="494">
        <v>302.73099999999999</v>
      </c>
      <c r="P250" s="494">
        <v>309.11500000000001</v>
      </c>
      <c r="Q250" s="494">
        <v>316.96899999999999</v>
      </c>
      <c r="R250" s="494">
        <v>322.55599999999998</v>
      </c>
    </row>
    <row r="251" spans="2:18" ht="15.75" x14ac:dyDescent="0.25">
      <c r="B251" s="493">
        <v>249</v>
      </c>
      <c r="C251" s="494">
        <v>286.80799999999999</v>
      </c>
      <c r="D251" s="494">
        <v>303.83499999999998</v>
      </c>
      <c r="E251" s="494">
        <v>323.69400000000002</v>
      </c>
      <c r="F251" s="145"/>
      <c r="G251" s="493">
        <v>249</v>
      </c>
      <c r="H251" s="494">
        <v>195.27600000000001</v>
      </c>
      <c r="I251" s="494">
        <v>207.18600000000001</v>
      </c>
      <c r="J251" s="494">
        <v>267.56099999999998</v>
      </c>
      <c r="K251" s="494">
        <v>277.99299999999999</v>
      </c>
      <c r="L251" s="494">
        <v>286.80799999999999</v>
      </c>
      <c r="M251" s="494">
        <v>294.601</v>
      </c>
      <c r="N251" s="494">
        <v>296.947</v>
      </c>
      <c r="O251" s="494">
        <v>303.83499999999998</v>
      </c>
      <c r="P251" s="494">
        <v>310.23099999999999</v>
      </c>
      <c r="Q251" s="494">
        <v>318.09800000000001</v>
      </c>
      <c r="R251" s="494">
        <v>323.69400000000002</v>
      </c>
    </row>
    <row r="252" spans="2:18" ht="15.75" x14ac:dyDescent="0.25">
      <c r="B252" s="493">
        <v>250</v>
      </c>
      <c r="C252" s="494">
        <v>287.88200000000001</v>
      </c>
      <c r="D252" s="494">
        <v>304.94</v>
      </c>
      <c r="E252" s="494">
        <v>324.83199999999999</v>
      </c>
      <c r="F252" s="145"/>
      <c r="G252" s="493">
        <v>250</v>
      </c>
      <c r="H252" s="494">
        <v>196.161</v>
      </c>
      <c r="I252" s="494">
        <v>208.09800000000001</v>
      </c>
      <c r="J252" s="494">
        <v>268.59899999999999</v>
      </c>
      <c r="K252" s="494">
        <v>279.05</v>
      </c>
      <c r="L252" s="494">
        <v>287.88200000000001</v>
      </c>
      <c r="M252" s="494">
        <v>295.68900000000002</v>
      </c>
      <c r="N252" s="494">
        <v>298.03899999999999</v>
      </c>
      <c r="O252" s="494">
        <v>304.94</v>
      </c>
      <c r="P252" s="494">
        <v>311.346</v>
      </c>
      <c r="Q252" s="494">
        <v>319.22699999999998</v>
      </c>
      <c r="R252" s="494">
        <v>324.83199999999999</v>
      </c>
    </row>
    <row r="253" spans="2:18" ht="15.75" x14ac:dyDescent="0.25">
      <c r="B253" s="493">
        <v>300</v>
      </c>
      <c r="C253" s="494">
        <v>341.39499999999998</v>
      </c>
      <c r="D253" s="494">
        <v>359.90600000000001</v>
      </c>
      <c r="E253" s="494">
        <v>381.42500000000001</v>
      </c>
      <c r="F253" s="145"/>
      <c r="G253" s="493">
        <v>300</v>
      </c>
      <c r="H253" s="494">
        <v>240.66300000000001</v>
      </c>
      <c r="I253" s="494">
        <v>253.91200000000001</v>
      </c>
      <c r="J253" s="494">
        <v>320.39699999999999</v>
      </c>
      <c r="K253" s="494">
        <v>331.78899999999999</v>
      </c>
      <c r="L253" s="494">
        <v>341.39499999999998</v>
      </c>
      <c r="M253" s="494">
        <v>349.87400000000002</v>
      </c>
      <c r="N253" s="494">
        <v>352.42500000000001</v>
      </c>
      <c r="O253" s="494">
        <v>359.90600000000001</v>
      </c>
      <c r="P253" s="494">
        <v>366.84399999999999</v>
      </c>
      <c r="Q253" s="494">
        <v>375.36900000000003</v>
      </c>
      <c r="R253" s="494">
        <v>381.42500000000001</v>
      </c>
    </row>
    <row r="254" spans="2:18" ht="15.75" x14ac:dyDescent="0.25">
      <c r="B254" s="493">
        <v>350</v>
      </c>
      <c r="C254" s="494">
        <v>394.62599999999998</v>
      </c>
      <c r="D254" s="494">
        <v>414.47399999999999</v>
      </c>
      <c r="E254" s="494">
        <v>437.488</v>
      </c>
      <c r="F254" s="145"/>
      <c r="G254" s="493">
        <v>350</v>
      </c>
      <c r="H254" s="494">
        <v>285.608</v>
      </c>
      <c r="I254" s="494">
        <v>300.06400000000002</v>
      </c>
      <c r="J254" s="494">
        <v>372.05099999999999</v>
      </c>
      <c r="K254" s="494">
        <v>384.30599999999998</v>
      </c>
      <c r="L254" s="494">
        <v>394.62599999999998</v>
      </c>
      <c r="M254" s="494">
        <v>403.72300000000001</v>
      </c>
      <c r="N254" s="494">
        <v>406.45699999999999</v>
      </c>
      <c r="O254" s="494">
        <v>414.47399999999999</v>
      </c>
      <c r="P254" s="494">
        <v>421.9</v>
      </c>
      <c r="Q254" s="494">
        <v>431.017</v>
      </c>
      <c r="R254" s="494">
        <v>437.488</v>
      </c>
    </row>
    <row r="255" spans="2:18" ht="15.75" x14ac:dyDescent="0.25">
      <c r="B255" s="493">
        <v>400</v>
      </c>
      <c r="C255" s="494">
        <v>447.63200000000001</v>
      </c>
      <c r="D255" s="494">
        <v>468.72399999999999</v>
      </c>
      <c r="E255" s="494">
        <v>493.13200000000001</v>
      </c>
      <c r="F255" s="145"/>
      <c r="G255" s="493">
        <v>400</v>
      </c>
      <c r="H255" s="494">
        <v>330.90300000000002</v>
      </c>
      <c r="I255" s="494">
        <v>346.48200000000003</v>
      </c>
      <c r="J255" s="494">
        <v>423.59</v>
      </c>
      <c r="K255" s="494">
        <v>436.649</v>
      </c>
      <c r="L255" s="494">
        <v>447.63200000000001</v>
      </c>
      <c r="M255" s="494">
        <v>457.30500000000001</v>
      </c>
      <c r="N255" s="494">
        <v>460.21100000000001</v>
      </c>
      <c r="O255" s="494">
        <v>468.72399999999999</v>
      </c>
      <c r="P255" s="494">
        <v>476.60599999999999</v>
      </c>
      <c r="Q255" s="494">
        <v>486.274</v>
      </c>
      <c r="R255" s="494">
        <v>493.13200000000001</v>
      </c>
    </row>
    <row r="256" spans="2:18" ht="15.75" x14ac:dyDescent="0.25">
      <c r="B256" s="493">
        <v>450</v>
      </c>
      <c r="C256" s="494">
        <v>500.45600000000002</v>
      </c>
      <c r="D256" s="494">
        <v>522.71699999999998</v>
      </c>
      <c r="E256" s="494">
        <v>548.43200000000002</v>
      </c>
      <c r="F256" s="145"/>
      <c r="G256" s="493">
        <v>450</v>
      </c>
      <c r="H256" s="494">
        <v>376.483</v>
      </c>
      <c r="I256" s="494">
        <v>393.11799999999999</v>
      </c>
      <c r="J256" s="494">
        <v>475.03500000000003</v>
      </c>
      <c r="K256" s="494">
        <v>488.84899999999999</v>
      </c>
      <c r="L256" s="494">
        <v>500.45600000000002</v>
      </c>
      <c r="M256" s="494">
        <v>510.67</v>
      </c>
      <c r="N256" s="494">
        <v>513.73599999999999</v>
      </c>
      <c r="O256" s="494">
        <v>522.71699999999998</v>
      </c>
      <c r="P256" s="494">
        <v>531.02599999999995</v>
      </c>
      <c r="Q256" s="494">
        <v>541.21199999999999</v>
      </c>
      <c r="R256" s="494">
        <v>548.43200000000002</v>
      </c>
    </row>
    <row r="257" spans="2:18" ht="15.75" x14ac:dyDescent="0.25">
      <c r="B257" s="493">
        <v>500</v>
      </c>
      <c r="C257" s="494">
        <v>553.12699999999995</v>
      </c>
      <c r="D257" s="494">
        <v>576.49300000000005</v>
      </c>
      <c r="E257" s="494">
        <v>603.44600000000003</v>
      </c>
      <c r="F257" s="145"/>
      <c r="G257" s="493">
        <v>500</v>
      </c>
      <c r="H257" s="494">
        <v>422.303</v>
      </c>
      <c r="I257" s="494">
        <v>439.93599999999998</v>
      </c>
      <c r="J257" s="494">
        <v>526.40099999999995</v>
      </c>
      <c r="K257" s="494">
        <v>540.92999999999995</v>
      </c>
      <c r="L257" s="494">
        <v>553.12699999999995</v>
      </c>
      <c r="M257" s="494">
        <v>563.85199999999998</v>
      </c>
      <c r="N257" s="494">
        <v>567.07000000000005</v>
      </c>
      <c r="O257" s="494">
        <v>576.49300000000005</v>
      </c>
      <c r="P257" s="494">
        <v>585.20699999999999</v>
      </c>
      <c r="Q257" s="494">
        <v>595.88199999999995</v>
      </c>
      <c r="R257" s="494">
        <v>603.44600000000003</v>
      </c>
    </row>
    <row r="258" spans="2:18" ht="15.75" x14ac:dyDescent="0.25">
      <c r="B258" s="493">
        <v>550</v>
      </c>
      <c r="C258" s="494">
        <v>605.66700000000003</v>
      </c>
      <c r="D258" s="494">
        <v>630.08399999999995</v>
      </c>
      <c r="E258" s="494">
        <v>658.21500000000003</v>
      </c>
      <c r="F258" s="145"/>
      <c r="G258" s="493">
        <v>550</v>
      </c>
      <c r="H258" s="494">
        <v>468.32799999999997</v>
      </c>
      <c r="I258" s="494">
        <v>486.91</v>
      </c>
      <c r="J258" s="494">
        <v>577.70100000000002</v>
      </c>
      <c r="K258" s="494">
        <v>592.90899999999999</v>
      </c>
      <c r="L258" s="494">
        <v>605.66700000000003</v>
      </c>
      <c r="M258" s="494">
        <v>616.87800000000004</v>
      </c>
      <c r="N258" s="494">
        <v>620.24099999999999</v>
      </c>
      <c r="O258" s="494">
        <v>630.08399999999995</v>
      </c>
      <c r="P258" s="494">
        <v>639.18299999999999</v>
      </c>
      <c r="Q258" s="494">
        <v>650.32399999999996</v>
      </c>
      <c r="R258" s="494">
        <v>658.21500000000003</v>
      </c>
    </row>
    <row r="259" spans="2:18" ht="15.75" x14ac:dyDescent="0.25">
      <c r="B259" s="493">
        <v>600</v>
      </c>
      <c r="C259" s="494">
        <v>658.09400000000005</v>
      </c>
      <c r="D259" s="494">
        <v>683.51599999999996</v>
      </c>
      <c r="E259" s="494">
        <v>712.77099999999996</v>
      </c>
      <c r="F259" s="145"/>
      <c r="G259" s="493">
        <v>600</v>
      </c>
      <c r="H259" s="494">
        <v>514.529</v>
      </c>
      <c r="I259" s="494">
        <v>534.01900000000001</v>
      </c>
      <c r="J259" s="494">
        <v>628.94299999999998</v>
      </c>
      <c r="K259" s="494">
        <v>644.79999999999995</v>
      </c>
      <c r="L259" s="494">
        <v>658.09400000000005</v>
      </c>
      <c r="M259" s="494">
        <v>669.76900000000001</v>
      </c>
      <c r="N259" s="494">
        <v>673.27</v>
      </c>
      <c r="O259" s="494">
        <v>683.51599999999996</v>
      </c>
      <c r="P259" s="494">
        <v>692.98199999999997</v>
      </c>
      <c r="Q259" s="494">
        <v>704.56799999999998</v>
      </c>
      <c r="R259" s="494">
        <v>712.77099999999996</v>
      </c>
    </row>
    <row r="260" spans="2:18" ht="15.75" x14ac:dyDescent="0.25">
      <c r="B260" s="493">
        <v>650</v>
      </c>
      <c r="C260" s="494">
        <v>710.42100000000005</v>
      </c>
      <c r="D260" s="494">
        <v>736.80700000000002</v>
      </c>
      <c r="E260" s="494">
        <v>767.14099999999996</v>
      </c>
      <c r="F260" s="145"/>
      <c r="G260" s="493">
        <v>650</v>
      </c>
      <c r="H260" s="494">
        <v>560.88499999999999</v>
      </c>
      <c r="I260" s="494">
        <v>581.245</v>
      </c>
      <c r="J260" s="494">
        <v>680.13400000000001</v>
      </c>
      <c r="K260" s="494">
        <v>696.61400000000003</v>
      </c>
      <c r="L260" s="494">
        <v>710.42100000000005</v>
      </c>
      <c r="M260" s="494">
        <v>722.54200000000003</v>
      </c>
      <c r="N260" s="494">
        <v>726.17600000000004</v>
      </c>
      <c r="O260" s="494">
        <v>736.80700000000002</v>
      </c>
      <c r="P260" s="494">
        <v>746.625</v>
      </c>
      <c r="Q260" s="494">
        <v>758.63900000000001</v>
      </c>
      <c r="R260" s="494">
        <v>767.14099999999996</v>
      </c>
    </row>
    <row r="261" spans="2:18" ht="15.75" x14ac:dyDescent="0.25">
      <c r="B261" s="493">
        <v>700</v>
      </c>
      <c r="C261" s="494">
        <v>762.66099999999994</v>
      </c>
      <c r="D261" s="494">
        <v>789.97400000000005</v>
      </c>
      <c r="E261" s="494">
        <v>821.34699999999998</v>
      </c>
      <c r="F261" s="145"/>
      <c r="G261" s="493">
        <v>700</v>
      </c>
      <c r="H261" s="494">
        <v>607.38</v>
      </c>
      <c r="I261" s="494">
        <v>628.577</v>
      </c>
      <c r="J261" s="494">
        <v>731.28</v>
      </c>
      <c r="K261" s="494">
        <v>748.35900000000004</v>
      </c>
      <c r="L261" s="494">
        <v>762.66099999999994</v>
      </c>
      <c r="M261" s="494">
        <v>775.21100000000001</v>
      </c>
      <c r="N261" s="494">
        <v>778.97199999999998</v>
      </c>
      <c r="O261" s="494">
        <v>789.97400000000005</v>
      </c>
      <c r="P261" s="494">
        <v>800.13099999999997</v>
      </c>
      <c r="Q261" s="494">
        <v>812.55600000000004</v>
      </c>
      <c r="R261" s="494">
        <v>821.34699999999998</v>
      </c>
    </row>
    <row r="262" spans="2:18" ht="15.75" x14ac:dyDescent="0.25">
      <c r="B262" s="493">
        <v>750</v>
      </c>
      <c r="C262" s="494">
        <v>814.822</v>
      </c>
      <c r="D262" s="494">
        <v>843.029</v>
      </c>
      <c r="E262" s="494">
        <v>875.404</v>
      </c>
      <c r="F262" s="145"/>
      <c r="G262" s="493">
        <v>750</v>
      </c>
      <c r="H262" s="494">
        <v>653.99699999999996</v>
      </c>
      <c r="I262" s="494">
        <v>676.00300000000004</v>
      </c>
      <c r="J262" s="494">
        <v>782.38599999999997</v>
      </c>
      <c r="K262" s="494">
        <v>800.04300000000001</v>
      </c>
      <c r="L262" s="494">
        <v>814.822</v>
      </c>
      <c r="M262" s="494">
        <v>827.78499999999997</v>
      </c>
      <c r="N262" s="494">
        <v>831.67</v>
      </c>
      <c r="O262" s="494">
        <v>843.029</v>
      </c>
      <c r="P262" s="494">
        <v>853.51400000000001</v>
      </c>
      <c r="Q262" s="494">
        <v>866.33600000000001</v>
      </c>
      <c r="R262" s="494">
        <v>875.404</v>
      </c>
    </row>
    <row r="263" spans="2:18" ht="15.75" x14ac:dyDescent="0.25">
      <c r="B263" s="493">
        <v>800</v>
      </c>
      <c r="C263" s="494">
        <v>866.91099999999994</v>
      </c>
      <c r="D263" s="494">
        <v>895.98400000000004</v>
      </c>
      <c r="E263" s="494">
        <v>929.32899999999995</v>
      </c>
      <c r="F263" s="145"/>
      <c r="G263" s="493">
        <v>800</v>
      </c>
      <c r="H263" s="494">
        <v>700.72500000000002</v>
      </c>
      <c r="I263" s="494">
        <v>723.51300000000003</v>
      </c>
      <c r="J263" s="494">
        <v>833.45600000000002</v>
      </c>
      <c r="K263" s="494">
        <v>851.67100000000005</v>
      </c>
      <c r="L263" s="494">
        <v>866.91099999999994</v>
      </c>
      <c r="M263" s="494">
        <v>880.27499999999998</v>
      </c>
      <c r="N263" s="494">
        <v>884.279</v>
      </c>
      <c r="O263" s="494">
        <v>895.98400000000004</v>
      </c>
      <c r="P263" s="494">
        <v>906.78599999999994</v>
      </c>
      <c r="Q263" s="494">
        <v>919.99099999999999</v>
      </c>
      <c r="R263" s="494">
        <v>929.32899999999995</v>
      </c>
    </row>
    <row r="264" spans="2:18" ht="15.75" x14ac:dyDescent="0.25">
      <c r="B264" s="493">
        <v>850</v>
      </c>
      <c r="C264" s="494">
        <v>918.93700000000001</v>
      </c>
      <c r="D264" s="494">
        <v>948.84799999999996</v>
      </c>
      <c r="E264" s="494">
        <v>983.13300000000004</v>
      </c>
      <c r="F264" s="145"/>
      <c r="G264" s="493">
        <v>850</v>
      </c>
      <c r="H264" s="494">
        <v>747.55399999999997</v>
      </c>
      <c r="I264" s="494">
        <v>771.09900000000005</v>
      </c>
      <c r="J264" s="494">
        <v>884.49199999999996</v>
      </c>
      <c r="K264" s="494">
        <v>903.24900000000002</v>
      </c>
      <c r="L264" s="494">
        <v>918.93700000000001</v>
      </c>
      <c r="M264" s="494">
        <v>932.68899999999996</v>
      </c>
      <c r="N264" s="494">
        <v>936.80799999999999</v>
      </c>
      <c r="O264" s="494">
        <v>948.84799999999996</v>
      </c>
      <c r="P264" s="494">
        <v>959.95699999999999</v>
      </c>
      <c r="Q264" s="494">
        <v>973.53399999999999</v>
      </c>
      <c r="R264" s="494">
        <v>983.13300000000004</v>
      </c>
    </row>
    <row r="265" spans="2:18" ht="15.75" x14ac:dyDescent="0.25">
      <c r="B265" s="493">
        <v>900</v>
      </c>
      <c r="C265" s="494">
        <v>970.904</v>
      </c>
      <c r="D265" s="494">
        <v>1001.63</v>
      </c>
      <c r="E265" s="494">
        <v>1036.826</v>
      </c>
      <c r="F265" s="145"/>
      <c r="G265" s="493">
        <v>900</v>
      </c>
      <c r="H265" s="494">
        <v>794.47500000000002</v>
      </c>
      <c r="I265" s="494">
        <v>818.75599999999997</v>
      </c>
      <c r="J265" s="494">
        <v>935.49900000000002</v>
      </c>
      <c r="K265" s="494">
        <v>954.78200000000004</v>
      </c>
      <c r="L265" s="494">
        <v>970.904</v>
      </c>
      <c r="M265" s="494">
        <v>985.03200000000004</v>
      </c>
      <c r="N265" s="494">
        <v>989.26300000000003</v>
      </c>
      <c r="O265" s="494">
        <v>1001.63</v>
      </c>
      <c r="P265" s="494">
        <v>1013.0359999999999</v>
      </c>
      <c r="Q265" s="494">
        <v>1026.9739999999999</v>
      </c>
      <c r="R265" s="494">
        <v>1036.826</v>
      </c>
    </row>
    <row r="266" spans="2:18" ht="15.75" x14ac:dyDescent="0.25">
      <c r="B266" s="493">
        <v>950</v>
      </c>
      <c r="C266" s="494">
        <v>1022.816</v>
      </c>
      <c r="D266" s="494">
        <v>1054.3340000000001</v>
      </c>
      <c r="E266" s="494">
        <v>1090.4179999999999</v>
      </c>
      <c r="F266" s="145"/>
      <c r="G266" s="493">
        <v>950</v>
      </c>
      <c r="H266" s="494">
        <v>841.48</v>
      </c>
      <c r="I266" s="494">
        <v>866.47699999999998</v>
      </c>
      <c r="J266" s="494">
        <v>986.47799999999995</v>
      </c>
      <c r="K266" s="494">
        <v>1006.272</v>
      </c>
      <c r="L266" s="494">
        <v>1022.816</v>
      </c>
      <c r="M266" s="494">
        <v>1037.3109999999999</v>
      </c>
      <c r="N266" s="494">
        <v>1041.6510000000001</v>
      </c>
      <c r="O266" s="494">
        <v>1054.3340000000001</v>
      </c>
      <c r="P266" s="494">
        <v>1066.0309999999999</v>
      </c>
      <c r="Q266" s="494">
        <v>1080.32</v>
      </c>
      <c r="R266" s="494">
        <v>1090.4179999999999</v>
      </c>
    </row>
    <row r="267" spans="2:18" ht="15.75" x14ac:dyDescent="0.25">
      <c r="B267" s="493">
        <v>1000</v>
      </c>
      <c r="C267" s="494">
        <v>1074.6790000000001</v>
      </c>
      <c r="D267" s="494">
        <v>1106.9690000000001</v>
      </c>
      <c r="E267" s="494">
        <v>1143.9169999999999</v>
      </c>
      <c r="F267" s="145"/>
      <c r="G267" s="493">
        <v>1000</v>
      </c>
      <c r="H267" s="494">
        <v>888.56399999999996</v>
      </c>
      <c r="I267" s="494">
        <v>914.25699999999995</v>
      </c>
      <c r="J267" s="494">
        <v>1037.431</v>
      </c>
      <c r="K267" s="494">
        <v>1057.7239999999999</v>
      </c>
      <c r="L267" s="494">
        <v>1074.6790000000001</v>
      </c>
      <c r="M267" s="494">
        <v>1089.5309999999999</v>
      </c>
      <c r="N267" s="494">
        <v>1093.9770000000001</v>
      </c>
      <c r="O267" s="494">
        <v>1106.9690000000001</v>
      </c>
      <c r="P267" s="494">
        <v>1118.9480000000001</v>
      </c>
      <c r="Q267" s="494">
        <v>1133.579</v>
      </c>
      <c r="R267" s="494">
        <v>1143.9169999999999</v>
      </c>
    </row>
    <row r="268" spans="2:18" x14ac:dyDescent="0.25">
      <c r="B268" s="611"/>
      <c r="C268" s="611"/>
      <c r="D268" s="611"/>
      <c r="E268" s="611"/>
      <c r="G268" s="612"/>
      <c r="H268" s="612"/>
      <c r="I268" s="612"/>
      <c r="J268" s="612"/>
      <c r="K268" s="612"/>
      <c r="L268" s="612"/>
      <c r="M268" s="612"/>
      <c r="N268" s="612"/>
      <c r="O268" s="612"/>
      <c r="P268" s="612"/>
      <c r="Q268" s="612"/>
      <c r="R268" s="612"/>
    </row>
    <row r="269" spans="2:18" x14ac:dyDescent="0.25">
      <c r="B269" s="315"/>
      <c r="G269" s="315"/>
    </row>
    <row r="270" spans="2:18" ht="24" x14ac:dyDescent="0.25">
      <c r="B270" s="318"/>
      <c r="G270" s="452"/>
    </row>
    <row r="271" spans="2:18" x14ac:dyDescent="0.25">
      <c r="B271" s="315"/>
      <c r="G271" s="315"/>
    </row>
    <row r="272" spans="2:18" ht="18.75" x14ac:dyDescent="0.25">
      <c r="B272" s="319"/>
      <c r="G272" s="453"/>
    </row>
    <row r="273" spans="2:7" x14ac:dyDescent="0.25">
      <c r="B273" s="315"/>
      <c r="G273" s="315"/>
    </row>
    <row r="274" spans="2:7" ht="18.75" x14ac:dyDescent="0.25">
      <c r="B274" s="319"/>
      <c r="G274" s="453"/>
    </row>
    <row r="275" spans="2:7" x14ac:dyDescent="0.25">
      <c r="B275" s="315"/>
      <c r="G275" s="315"/>
    </row>
    <row r="276" spans="2:7" ht="18.75" x14ac:dyDescent="0.25">
      <c r="B276" s="319"/>
      <c r="G276" s="453"/>
    </row>
    <row r="277" spans="2:7" ht="18.75" x14ac:dyDescent="0.25">
      <c r="B277" s="319"/>
      <c r="G277" s="453"/>
    </row>
    <row r="278" spans="2:7" ht="18.75" x14ac:dyDescent="0.25">
      <c r="B278" s="319"/>
      <c r="G278" s="453"/>
    </row>
    <row r="279" spans="2:7" x14ac:dyDescent="0.25">
      <c r="B279" s="315"/>
      <c r="G279" s="315"/>
    </row>
    <row r="280" spans="2:7" x14ac:dyDescent="0.25">
      <c r="B280" s="315"/>
      <c r="G280" s="315"/>
    </row>
    <row r="281" spans="2:7" x14ac:dyDescent="0.25">
      <c r="B281" s="315"/>
      <c r="G281" s="315"/>
    </row>
    <row r="282" spans="2:7" x14ac:dyDescent="0.25">
      <c r="B282" s="315"/>
      <c r="G282" s="315"/>
    </row>
    <row r="283" spans="2:7" x14ac:dyDescent="0.25">
      <c r="B283" s="315"/>
      <c r="G283" s="315"/>
    </row>
    <row r="284" spans="2:7" x14ac:dyDescent="0.25">
      <c r="B284" s="315"/>
      <c r="G284" s="315"/>
    </row>
    <row r="285" spans="2:7" x14ac:dyDescent="0.25">
      <c r="B285" s="315"/>
      <c r="G285" s="315"/>
    </row>
    <row r="286" spans="2:7" x14ac:dyDescent="0.25">
      <c r="B286" s="315"/>
      <c r="G286" s="315"/>
    </row>
    <row r="287" spans="2:7" x14ac:dyDescent="0.25">
      <c r="B287" s="315"/>
      <c r="G287" s="315"/>
    </row>
    <row r="288" spans="2:7" x14ac:dyDescent="0.25">
      <c r="B288" s="315"/>
      <c r="G288" s="315"/>
    </row>
    <row r="289" spans="2:10" x14ac:dyDescent="0.25">
      <c r="B289" s="315"/>
      <c r="G289" s="315"/>
    </row>
    <row r="290" spans="2:10" ht="18.75" x14ac:dyDescent="0.25">
      <c r="B290" s="319"/>
      <c r="G290" s="453"/>
    </row>
    <row r="291" spans="2:10" x14ac:dyDescent="0.25">
      <c r="B291" s="315"/>
      <c r="G291" s="315"/>
    </row>
    <row r="292" spans="2:10" ht="18.75" x14ac:dyDescent="0.25">
      <c r="B292" s="319"/>
      <c r="G292" s="453"/>
    </row>
    <row r="293" spans="2:10" x14ac:dyDescent="0.25">
      <c r="B293" s="315"/>
      <c r="G293" s="315"/>
    </row>
    <row r="294" spans="2:10" ht="24" x14ac:dyDescent="0.25">
      <c r="B294" s="318"/>
      <c r="G294" s="452"/>
    </row>
    <row r="295" spans="2:10" x14ac:dyDescent="0.25">
      <c r="B295" s="315"/>
      <c r="G295" s="315"/>
    </row>
    <row r="296" spans="2:10" ht="18.75" x14ac:dyDescent="0.25">
      <c r="B296" s="319"/>
      <c r="G296" s="453"/>
    </row>
    <row r="297" spans="2:10" x14ac:dyDescent="0.25">
      <c r="B297" s="315"/>
      <c r="G297" s="315"/>
    </row>
    <row r="298" spans="2:10" ht="18.75" x14ac:dyDescent="0.25">
      <c r="B298" s="319"/>
      <c r="G298" s="453"/>
    </row>
    <row r="299" spans="2:10" x14ac:dyDescent="0.25">
      <c r="B299" s="315"/>
      <c r="G299" s="315"/>
    </row>
    <row r="300" spans="2:10" ht="18.75" x14ac:dyDescent="0.25">
      <c r="B300" s="319"/>
      <c r="G300" s="453"/>
    </row>
    <row r="301" spans="2:10" ht="15.75" thickBot="1" x14ac:dyDescent="0.3">
      <c r="B301" s="315"/>
      <c r="G301" s="315"/>
    </row>
    <row r="302" spans="2:10" ht="15.75" thickBot="1" x14ac:dyDescent="0.3">
      <c r="B302" s="316"/>
      <c r="G302" s="450"/>
      <c r="H302" s="454"/>
      <c r="I302" s="454"/>
      <c r="J302" s="454"/>
    </row>
    <row r="303" spans="2:10" ht="15.75" thickBot="1" x14ac:dyDescent="0.3">
      <c r="B303" s="317"/>
      <c r="G303" s="455"/>
      <c r="H303" s="451"/>
      <c r="I303" s="451"/>
      <c r="J303" s="451"/>
    </row>
    <row r="304" spans="2:10" ht="15.75" thickBot="1" x14ac:dyDescent="0.3">
      <c r="B304" s="317"/>
      <c r="G304" s="455"/>
      <c r="H304" s="451"/>
      <c r="I304" s="451"/>
      <c r="J304" s="451"/>
    </row>
    <row r="305" spans="2:10" ht="15.75" thickBot="1" x14ac:dyDescent="0.3">
      <c r="B305" s="317"/>
      <c r="G305" s="455"/>
      <c r="H305" s="451"/>
      <c r="I305" s="451"/>
      <c r="J305" s="451"/>
    </row>
    <row r="306" spans="2:10" x14ac:dyDescent="0.25">
      <c r="B306" s="315"/>
      <c r="G306" s="315"/>
    </row>
    <row r="307" spans="2:10" ht="18.75" x14ac:dyDescent="0.25">
      <c r="B307" s="319"/>
      <c r="G307" s="453"/>
    </row>
    <row r="308" spans="2:10" x14ac:dyDescent="0.25">
      <c r="B308" s="315"/>
      <c r="G308" s="315"/>
    </row>
    <row r="309" spans="2:10" ht="18.75" x14ac:dyDescent="0.25">
      <c r="B309" s="319"/>
      <c r="G309" s="453"/>
    </row>
    <row r="310" spans="2:10" x14ac:dyDescent="0.25">
      <c r="B310" s="315"/>
      <c r="G310" s="315"/>
    </row>
    <row r="311" spans="2:10" ht="18.75" x14ac:dyDescent="0.25">
      <c r="B311" s="319"/>
      <c r="G311" s="453"/>
    </row>
    <row r="312" spans="2:10" x14ac:dyDescent="0.25">
      <c r="B312" s="315"/>
      <c r="G312" s="315"/>
    </row>
    <row r="313" spans="2:10" ht="18.75" x14ac:dyDescent="0.25">
      <c r="B313" s="319"/>
      <c r="G313" s="453"/>
    </row>
    <row r="314" spans="2:10" ht="18.75" x14ac:dyDescent="0.25">
      <c r="B314" s="319"/>
      <c r="G314" s="453"/>
    </row>
    <row r="315" spans="2:10" ht="18.75" x14ac:dyDescent="0.25">
      <c r="B315" s="319"/>
      <c r="G315" s="453"/>
    </row>
    <row r="316" spans="2:10" x14ac:dyDescent="0.25">
      <c r="B316" s="315"/>
      <c r="G316" s="315"/>
    </row>
    <row r="317" spans="2:10" x14ac:dyDescent="0.25">
      <c r="B317" s="315"/>
      <c r="G317" s="315"/>
    </row>
    <row r="318" spans="2:10" x14ac:dyDescent="0.25">
      <c r="B318" s="315"/>
      <c r="G318" s="315"/>
    </row>
    <row r="319" spans="2:10" x14ac:dyDescent="0.25">
      <c r="B319" s="315"/>
      <c r="G319" s="315"/>
    </row>
    <row r="320" spans="2:10" x14ac:dyDescent="0.25">
      <c r="B320" s="315"/>
      <c r="G320" s="315"/>
    </row>
    <row r="321" spans="2:10" x14ac:dyDescent="0.25">
      <c r="B321" s="315"/>
      <c r="G321" s="315"/>
    </row>
    <row r="322" spans="2:10" ht="18.75" x14ac:dyDescent="0.25">
      <c r="B322" s="319"/>
      <c r="G322" s="453"/>
    </row>
    <row r="323" spans="2:10" x14ac:dyDescent="0.25">
      <c r="B323" s="315"/>
      <c r="G323" s="315"/>
    </row>
    <row r="324" spans="2:10" ht="18.75" x14ac:dyDescent="0.25">
      <c r="B324" s="319"/>
      <c r="G324" s="453"/>
    </row>
    <row r="325" spans="2:10" x14ac:dyDescent="0.25">
      <c r="B325" s="315"/>
      <c r="G325" s="315"/>
    </row>
    <row r="326" spans="2:10" ht="18.75" x14ac:dyDescent="0.25">
      <c r="B326" s="319"/>
      <c r="G326" s="453"/>
    </row>
    <row r="327" spans="2:10" x14ac:dyDescent="0.25">
      <c r="B327" s="315"/>
      <c r="G327" s="315"/>
    </row>
    <row r="328" spans="2:10" ht="18.75" x14ac:dyDescent="0.25">
      <c r="B328" s="319"/>
      <c r="G328" s="453"/>
    </row>
    <row r="329" spans="2:10" ht="15.75" thickBot="1" x14ac:dyDescent="0.3">
      <c r="B329" s="315"/>
      <c r="G329" s="315"/>
    </row>
    <row r="330" spans="2:10" ht="15.75" thickBot="1" x14ac:dyDescent="0.3">
      <c r="B330" s="316"/>
      <c r="G330" s="450"/>
      <c r="H330" s="454"/>
      <c r="I330" s="454"/>
      <c r="J330" s="454"/>
    </row>
    <row r="331" spans="2:10" ht="15.75" thickBot="1" x14ac:dyDescent="0.3">
      <c r="B331" s="317"/>
      <c r="G331" s="455"/>
      <c r="H331" s="451"/>
      <c r="I331" s="451"/>
      <c r="J331" s="451"/>
    </row>
    <row r="332" spans="2:10" ht="15.75" thickBot="1" x14ac:dyDescent="0.3">
      <c r="B332" s="317"/>
      <c r="G332" s="455"/>
      <c r="H332" s="451"/>
      <c r="I332" s="451"/>
      <c r="J332" s="451"/>
    </row>
    <row r="333" spans="2:10" ht="15.75" thickBot="1" x14ac:dyDescent="0.3">
      <c r="B333" s="317"/>
      <c r="G333" s="455"/>
      <c r="H333" s="451"/>
      <c r="I333" s="451"/>
      <c r="J333" s="451"/>
    </row>
    <row r="334" spans="2:10" x14ac:dyDescent="0.25">
      <c r="B334" s="315"/>
      <c r="G334" s="315"/>
    </row>
    <row r="335" spans="2:10" ht="18.75" x14ac:dyDescent="0.25">
      <c r="B335" s="319"/>
      <c r="G335" s="453"/>
    </row>
    <row r="336" spans="2:10" x14ac:dyDescent="0.25">
      <c r="B336" s="315"/>
      <c r="G336" s="315"/>
    </row>
    <row r="337" spans="2:7" ht="18.75" x14ac:dyDescent="0.25">
      <c r="B337" s="319"/>
      <c r="G337" s="453"/>
    </row>
    <row r="338" spans="2:7" x14ac:dyDescent="0.25">
      <c r="B338" s="315"/>
      <c r="G338" s="315"/>
    </row>
    <row r="339" spans="2:7" ht="18.75" x14ac:dyDescent="0.25">
      <c r="B339" s="319"/>
      <c r="G339" s="453"/>
    </row>
    <row r="340" spans="2:7" x14ac:dyDescent="0.25">
      <c r="B340" s="315"/>
      <c r="G340" s="315"/>
    </row>
    <row r="341" spans="2:7" ht="18.75" x14ac:dyDescent="0.25">
      <c r="B341" s="319"/>
      <c r="G341" s="453"/>
    </row>
    <row r="342" spans="2:7" x14ac:dyDescent="0.25">
      <c r="B342" s="315"/>
      <c r="G342" s="315"/>
    </row>
    <row r="343" spans="2:7" ht="18.75" x14ac:dyDescent="0.25">
      <c r="B343" s="319"/>
      <c r="G343" s="453"/>
    </row>
    <row r="344" spans="2:7" x14ac:dyDescent="0.25">
      <c r="B344" s="315"/>
      <c r="G344" s="315"/>
    </row>
    <row r="345" spans="2:7" ht="18.75" x14ac:dyDescent="0.25">
      <c r="B345" s="319"/>
      <c r="G345" s="453"/>
    </row>
    <row r="346" spans="2:7" x14ac:dyDescent="0.25">
      <c r="B346" s="315"/>
      <c r="G346" s="315"/>
    </row>
    <row r="347" spans="2:7" ht="18.75" x14ac:dyDescent="0.25">
      <c r="B347" s="319"/>
      <c r="G347" s="453"/>
    </row>
    <row r="348" spans="2:7" x14ac:dyDescent="0.25">
      <c r="B348" s="315"/>
      <c r="G348" s="315"/>
    </row>
    <row r="349" spans="2:7" ht="18.75" x14ac:dyDescent="0.25">
      <c r="B349" s="319"/>
      <c r="G349" s="453"/>
    </row>
    <row r="350" spans="2:7" x14ac:dyDescent="0.25">
      <c r="B350" s="315"/>
      <c r="G350" s="315"/>
    </row>
    <row r="351" spans="2:7" ht="18.75" x14ac:dyDescent="0.25">
      <c r="B351" s="319"/>
      <c r="G351" s="453"/>
    </row>
    <row r="352" spans="2:7" ht="18.75" x14ac:dyDescent="0.25">
      <c r="B352" s="319"/>
      <c r="G352" s="453"/>
    </row>
    <row r="353" spans="2:7" ht="18.75" x14ac:dyDescent="0.25">
      <c r="B353" s="319"/>
      <c r="G353" s="453"/>
    </row>
    <row r="354" spans="2:7" x14ac:dyDescent="0.25">
      <c r="B354" s="315"/>
      <c r="G354" s="315"/>
    </row>
    <row r="355" spans="2:7" x14ac:dyDescent="0.25">
      <c r="B355" s="315"/>
      <c r="G355" s="315"/>
    </row>
    <row r="356" spans="2:7" x14ac:dyDescent="0.25">
      <c r="B356" s="315"/>
      <c r="G356" s="315"/>
    </row>
    <row r="357" spans="2:7" x14ac:dyDescent="0.25">
      <c r="B357" s="315"/>
      <c r="G357" s="315"/>
    </row>
    <row r="358" spans="2:7" x14ac:dyDescent="0.25">
      <c r="B358" s="315"/>
      <c r="G358" s="315"/>
    </row>
    <row r="359" spans="2:7" x14ac:dyDescent="0.25">
      <c r="B359" s="315"/>
      <c r="G359" s="315"/>
    </row>
    <row r="360" spans="2:7" x14ac:dyDescent="0.25">
      <c r="B360" s="315"/>
      <c r="G360" s="315"/>
    </row>
    <row r="361" spans="2:7" x14ac:dyDescent="0.25">
      <c r="B361" s="315"/>
      <c r="G361" s="315"/>
    </row>
    <row r="362" spans="2:7" x14ac:dyDescent="0.25">
      <c r="B362" s="315"/>
      <c r="G362" s="315"/>
    </row>
    <row r="363" spans="2:7" x14ac:dyDescent="0.25">
      <c r="B363" s="315"/>
      <c r="G363" s="315"/>
    </row>
    <row r="364" spans="2:7" ht="18.75" x14ac:dyDescent="0.25">
      <c r="B364" s="319"/>
      <c r="G364" s="453"/>
    </row>
    <row r="365" spans="2:7" x14ac:dyDescent="0.25">
      <c r="B365" s="315"/>
      <c r="G365" s="315"/>
    </row>
    <row r="366" spans="2:7" ht="18.75" x14ac:dyDescent="0.25">
      <c r="B366" s="319"/>
      <c r="G366" s="453"/>
    </row>
    <row r="367" spans="2:7" x14ac:dyDescent="0.25">
      <c r="B367" s="315"/>
      <c r="G367" s="315"/>
    </row>
    <row r="368" spans="2:7" ht="18.75" x14ac:dyDescent="0.25">
      <c r="B368" s="319"/>
      <c r="G368" s="453"/>
    </row>
    <row r="369" spans="2:7" x14ac:dyDescent="0.25">
      <c r="B369" s="315"/>
      <c r="G369" s="315"/>
    </row>
    <row r="370" spans="2:7" ht="18.75" x14ac:dyDescent="0.25">
      <c r="B370" s="319"/>
      <c r="G370" s="453"/>
    </row>
    <row r="371" spans="2:7" x14ac:dyDescent="0.25">
      <c r="B371" s="315"/>
      <c r="G371" s="315"/>
    </row>
    <row r="372" spans="2:7" ht="18.75" x14ac:dyDescent="0.25">
      <c r="B372" s="319"/>
      <c r="G372" s="453"/>
    </row>
  </sheetData>
  <mergeCells count="2">
    <mergeCell ref="B268:E268"/>
    <mergeCell ref="G268:R2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069B-EC31-4319-B561-6A70716E8F58}">
  <sheetPr>
    <tabColor rgb="FFFFC000"/>
  </sheetPr>
  <dimension ref="B1:AQ66"/>
  <sheetViews>
    <sheetView topLeftCell="W1" workbookViewId="0">
      <pane ySplit="3" topLeftCell="A4" activePane="bottomLeft" state="frozen"/>
      <selection pane="bottomLeft" activeCell="AV18" sqref="AV18"/>
    </sheetView>
  </sheetViews>
  <sheetFormatPr defaultRowHeight="15" x14ac:dyDescent="0.25"/>
  <cols>
    <col min="1" max="1" width="2.7109375" customWidth="1"/>
    <col min="2" max="3" width="12.7109375" customWidth="1"/>
    <col min="4" max="4" width="10.140625" customWidth="1"/>
    <col min="5" max="5" width="11.140625" customWidth="1"/>
    <col min="6" max="8" width="11.140625" bestFit="1" customWidth="1"/>
    <col min="9" max="9" width="8.85546875" bestFit="1" customWidth="1"/>
    <col min="13" max="13" width="8.7109375" customWidth="1"/>
    <col min="15" max="16" width="12.7109375" customWidth="1"/>
    <col min="17" max="17" width="10.140625" customWidth="1"/>
    <col min="18" max="18" width="11.140625" customWidth="1"/>
    <col min="19" max="21" width="11.140625" bestFit="1" customWidth="1"/>
    <col min="22" max="22" width="8.85546875" bestFit="1" customWidth="1"/>
    <col min="25" max="26" width="8.7109375" customWidth="1"/>
    <col min="29" max="30" width="12.7109375" customWidth="1"/>
    <col min="31" max="31" width="10.140625" customWidth="1"/>
    <col min="32" max="32" width="11.140625" customWidth="1"/>
    <col min="33" max="35" width="11.140625" bestFit="1" customWidth="1"/>
    <col min="36" max="36" width="8.85546875" bestFit="1" customWidth="1"/>
  </cols>
  <sheetData>
    <row r="1" spans="2:43" s="30" customFormat="1" ht="18.75" x14ac:dyDescent="0.3">
      <c r="B1" s="259" t="s">
        <v>245</v>
      </c>
      <c r="C1" s="259"/>
      <c r="D1" s="259"/>
      <c r="E1" s="259"/>
      <c r="F1" s="259"/>
      <c r="G1" s="259"/>
      <c r="H1" s="259"/>
      <c r="I1" s="259"/>
      <c r="J1" s="259"/>
      <c r="K1" s="405"/>
      <c r="O1" s="259" t="s">
        <v>245</v>
      </c>
      <c r="P1" s="259"/>
      <c r="Q1" s="259"/>
      <c r="R1" s="259"/>
      <c r="S1" s="259"/>
      <c r="T1" s="259"/>
      <c r="U1" s="259"/>
      <c r="V1" s="259"/>
      <c r="W1" s="259"/>
      <c r="X1" s="405"/>
      <c r="AC1" s="259" t="s">
        <v>245</v>
      </c>
      <c r="AD1" s="259"/>
      <c r="AE1" s="259"/>
      <c r="AF1" s="259"/>
      <c r="AG1" s="259"/>
      <c r="AH1" s="259"/>
      <c r="AI1" s="259"/>
      <c r="AJ1" s="259"/>
      <c r="AK1" s="259"/>
      <c r="AL1" s="405"/>
    </row>
    <row r="2" spans="2:43" s="3" customFormat="1" ht="21.75" thickBot="1" x14ac:dyDescent="0.4">
      <c r="B2" s="584" t="s">
        <v>318</v>
      </c>
      <c r="C2" s="584"/>
      <c r="D2" s="584"/>
      <c r="E2" s="584"/>
      <c r="F2" s="584"/>
      <c r="G2" s="584"/>
      <c r="H2" s="584"/>
      <c r="I2" s="584"/>
      <c r="J2" s="584"/>
      <c r="K2" s="584"/>
      <c r="O2" s="584" t="s">
        <v>318</v>
      </c>
      <c r="P2" s="584"/>
      <c r="Q2" s="584"/>
      <c r="R2" s="584"/>
      <c r="S2" s="584"/>
      <c r="T2" s="584"/>
      <c r="U2" s="584"/>
      <c r="V2" s="584"/>
      <c r="W2" s="584"/>
      <c r="X2" s="584"/>
      <c r="AC2" s="584" t="s">
        <v>318</v>
      </c>
      <c r="AD2" s="584"/>
      <c r="AE2" s="584"/>
      <c r="AF2" s="584"/>
      <c r="AG2" s="584"/>
      <c r="AH2" s="584"/>
      <c r="AI2" s="584"/>
      <c r="AJ2" s="584"/>
      <c r="AK2" s="584"/>
      <c r="AL2" s="584"/>
    </row>
    <row r="3" spans="2:43" s="30" customFormat="1" ht="19.5" thickBot="1" x14ac:dyDescent="0.35">
      <c r="B3" s="5" t="s">
        <v>30</v>
      </c>
      <c r="C3" s="40" t="s">
        <v>31</v>
      </c>
      <c r="D3" s="164" t="s">
        <v>27</v>
      </c>
      <c r="E3" s="165" t="s">
        <v>21</v>
      </c>
      <c r="F3" s="165" t="s">
        <v>59</v>
      </c>
      <c r="G3" s="165" t="s">
        <v>60</v>
      </c>
      <c r="H3" s="166" t="s">
        <v>26</v>
      </c>
      <c r="I3" s="167" t="s">
        <v>28</v>
      </c>
      <c r="K3" s="27"/>
      <c r="L3" s="634" t="s">
        <v>575</v>
      </c>
      <c r="M3" s="635" t="s">
        <v>576</v>
      </c>
      <c r="O3" s="5" t="s">
        <v>30</v>
      </c>
      <c r="P3" s="40" t="s">
        <v>31</v>
      </c>
      <c r="Q3" s="164" t="s">
        <v>27</v>
      </c>
      <c r="R3" s="165" t="s">
        <v>21</v>
      </c>
      <c r="S3" s="165" t="s">
        <v>59</v>
      </c>
      <c r="T3" s="165" t="s">
        <v>60</v>
      </c>
      <c r="U3" s="166" t="s">
        <v>26</v>
      </c>
      <c r="V3" s="167" t="s">
        <v>28</v>
      </c>
      <c r="Y3" s="5" t="s">
        <v>30</v>
      </c>
      <c r="Z3" s="6" t="s">
        <v>31</v>
      </c>
      <c r="AC3" s="5" t="s">
        <v>30</v>
      </c>
      <c r="AD3" s="40" t="s">
        <v>31</v>
      </c>
      <c r="AE3" s="164" t="s">
        <v>27</v>
      </c>
      <c r="AF3" s="165" t="s">
        <v>21</v>
      </c>
      <c r="AG3" s="165" t="s">
        <v>59</v>
      </c>
      <c r="AH3" s="165" t="s">
        <v>60</v>
      </c>
      <c r="AI3" s="166" t="s">
        <v>26</v>
      </c>
      <c r="AJ3" s="167" t="s">
        <v>28</v>
      </c>
      <c r="AM3" s="30">
        <v>100</v>
      </c>
      <c r="AN3" s="30">
        <v>105</v>
      </c>
      <c r="AO3" s="30">
        <v>110</v>
      </c>
      <c r="AP3" s="30">
        <v>115</v>
      </c>
      <c r="AQ3" s="30">
        <v>120</v>
      </c>
    </row>
    <row r="4" spans="2:43" s="30" customFormat="1" ht="18.75" x14ac:dyDescent="0.3">
      <c r="B4" s="30">
        <v>29</v>
      </c>
      <c r="C4" s="30">
        <v>11</v>
      </c>
      <c r="D4" s="215">
        <f>IF(C4&gt;0,B4+C4," ")</f>
        <v>40</v>
      </c>
      <c r="E4" s="252">
        <f>IF(C4&gt;0,(B4 * LN(B4/C4))," ")</f>
        <v>28.112616158455001</v>
      </c>
      <c r="F4" s="252">
        <f>IF(C4&gt;0,B4*LN(B4)," ")</f>
        <v>97.651579069607749</v>
      </c>
      <c r="G4" s="252">
        <f>IF(C4&gt;0,C4*LN(C4)," ")</f>
        <v>26.376848000782076</v>
      </c>
      <c r="H4" s="252">
        <f>IF(C4&gt;0,D4*LN(D4)," ")</f>
        <v>147.55517816455745</v>
      </c>
      <c r="I4" s="252">
        <f>IF(C4&gt;0,1/D4," ")</f>
        <v>2.5000000000000001E-2</v>
      </c>
      <c r="K4" s="113" t="s">
        <v>577</v>
      </c>
      <c r="L4" s="30">
        <v>32</v>
      </c>
      <c r="M4" s="302">
        <v>55</v>
      </c>
      <c r="O4" s="292">
        <v>7.2</v>
      </c>
      <c r="P4" s="292">
        <v>8.8000000000000007</v>
      </c>
      <c r="Q4" s="215">
        <f>IF(P4&gt;0,O4+P4," ")</f>
        <v>16</v>
      </c>
      <c r="R4" s="252">
        <f>IF(P4&gt;0,(O4 * LN(O4/P4))," ")</f>
        <v>-1.444829007327489</v>
      </c>
      <c r="S4" s="252">
        <f>IF(P4&gt;0,O4*LN(O4)," ")</f>
        <v>14.213383387358469</v>
      </c>
      <c r="T4" s="252">
        <f>IF(P4&gt;0,P4*LN(P4)," ")</f>
        <v>19.137815149060618</v>
      </c>
      <c r="U4" s="252">
        <f>IF(P4&gt;0,Q4*LN(Q4)," ")</f>
        <v>44.361419555836498</v>
      </c>
      <c r="V4" s="252">
        <f>IF(P4&gt;0,1/Q4," ")</f>
        <v>6.25E-2</v>
      </c>
      <c r="W4" s="27"/>
      <c r="Y4" s="292">
        <v>7.2</v>
      </c>
      <c r="Z4" s="292">
        <v>8.8000000000000007</v>
      </c>
      <c r="AC4" s="292">
        <f t="shared" ref="AC4:AC43" ca="1" si="0">RANDBETWEEN(90,110)</f>
        <v>96</v>
      </c>
      <c r="AD4" s="566">
        <f ca="1">RANDBETWEEN(120,140)</f>
        <v>120</v>
      </c>
      <c r="AE4" s="215">
        <f ca="1">IF(AD4&gt;0,AC4+AD4," ")</f>
        <v>216</v>
      </c>
      <c r="AF4" s="252">
        <f ca="1">IF(AD4&gt;0,(AC4 * LN(AC4/AD4))," ")</f>
        <v>-21.421780926164132</v>
      </c>
      <c r="AG4" s="252">
        <f ca="1">IF(AD4&gt;0,AC4*LN(AC4)," ")</f>
        <v>438.17742638091227</v>
      </c>
      <c r="AH4" s="252">
        <f ca="1">IF(AD4&gt;0,AD4*LN(AD4)," ")</f>
        <v>574.49900913384545</v>
      </c>
      <c r="AI4" s="252">
        <f ca="1">IF(AD4&gt;0,AE4*LN(AE4)," ")</f>
        <v>1161.0601360597798</v>
      </c>
      <c r="AJ4" s="252">
        <f ca="1">IF(AD4&gt;0,1/AE4," ")</f>
        <v>4.6296296296296294E-3</v>
      </c>
      <c r="AK4" s="27"/>
      <c r="AM4" s="292">
        <f t="shared" ref="AM4:AM43" ca="1" si="1">RANDBETWEEN(90,110)</f>
        <v>102</v>
      </c>
      <c r="AN4" s="456">
        <f t="shared" ref="AN4:AN43" ca="1" si="2">RANDBETWEEN(95,115)</f>
        <v>106</v>
      </c>
      <c r="AO4" s="414">
        <f t="shared" ref="AO4:AO43" ca="1" si="3">RANDBETWEEN(100,120)</f>
        <v>114</v>
      </c>
      <c r="AP4" s="528">
        <f ca="1">RANDBETWEEN(110,130)</f>
        <v>123</v>
      </c>
      <c r="AQ4" s="566">
        <f ca="1">RANDBETWEEN(120,140)</f>
        <v>131</v>
      </c>
    </row>
    <row r="5" spans="2:43" s="30" customFormat="1" ht="18.75" x14ac:dyDescent="0.3">
      <c r="B5" s="30">
        <v>273</v>
      </c>
      <c r="C5" s="30">
        <v>191</v>
      </c>
      <c r="D5" s="215">
        <f t="shared" ref="D5:D6" si="4">IF(C5&gt;0,B5+C5," ")</f>
        <v>464</v>
      </c>
      <c r="E5" s="252">
        <f t="shared" ref="E5:E6" si="5">IF(C5&gt;0,(B5 * LN(B5/C5))," ")</f>
        <v>97.515154228764032</v>
      </c>
      <c r="F5" s="252">
        <f t="shared" ref="F5:F6" si="6">IF(C5&gt;0,B5*LN(B5)," ")</f>
        <v>1531.3858000854941</v>
      </c>
      <c r="G5" s="252">
        <f t="shared" ref="G5:G6" si="7">IF(C5&gt;0,C5*LN(C5)," ")</f>
        <v>1003.1842247569064</v>
      </c>
      <c r="H5" s="252">
        <f t="shared" ref="H5:H6" si="8">IF(C5&gt;0,D5*LN(D5)," ")</f>
        <v>2848.9064322329823</v>
      </c>
      <c r="I5" s="252">
        <f t="shared" ref="I5:I6" si="9">IF(C5&gt;0,1/D5," ")</f>
        <v>2.1551724137931034E-3</v>
      </c>
      <c r="K5" s="113" t="s">
        <v>578</v>
      </c>
      <c r="L5" s="30">
        <v>43</v>
      </c>
      <c r="M5" s="302">
        <v>65</v>
      </c>
      <c r="O5" s="292">
        <v>7.1</v>
      </c>
      <c r="P5" s="292">
        <v>7.5</v>
      </c>
      <c r="Q5" s="215">
        <f t="shared" ref="Q5:Q13" si="10">IF(P5&gt;0,O5+P5," ")</f>
        <v>14.6</v>
      </c>
      <c r="R5" s="252">
        <f t="shared" ref="R5:R13" si="11">IF(P5&gt;0,(O5 * LN(O5/P5))," ")</f>
        <v>-0.3891384791144647</v>
      </c>
      <c r="S5" s="252">
        <f t="shared" ref="S5:S13" si="12">IF(P5&gt;0,O5*LN(O5)," ")</f>
        <v>13.916672966735614</v>
      </c>
      <c r="T5" s="252">
        <f t="shared" ref="T5:T13" si="13">IF(P5&gt;0,P5*LN(P5)," ")</f>
        <v>15.111772654066986</v>
      </c>
      <c r="U5" s="252">
        <f t="shared" ref="U5:U13" si="14">IF(P5&gt;0,Q5*LN(Q5)," ")</f>
        <v>39.142914319228645</v>
      </c>
      <c r="V5" s="252">
        <f t="shared" ref="V5:V13" si="15">IF(P5&gt;0,1/Q5," ")</f>
        <v>6.8493150684931503E-2</v>
      </c>
      <c r="W5" s="27"/>
      <c r="Y5" s="292">
        <v>7.1</v>
      </c>
      <c r="Z5" s="292">
        <v>7.5</v>
      </c>
      <c r="AC5" s="292">
        <f t="shared" ca="1" si="0"/>
        <v>108</v>
      </c>
      <c r="AD5" s="566">
        <f t="shared" ref="AD5:AD43" ca="1" si="16">RANDBETWEEN(120,140)</f>
        <v>138</v>
      </c>
      <c r="AE5" s="215">
        <f t="shared" ref="AE5:AE43" ca="1" si="17">IF(AD5&gt;0,AC5+AD5," ")</f>
        <v>246</v>
      </c>
      <c r="AF5" s="252">
        <f t="shared" ref="AF5:AF43" ca="1" si="18">IF(AD5&gt;0,(AC5 * LN(AC5/AD5))," ")</f>
        <v>-26.473225467562376</v>
      </c>
      <c r="AG5" s="252">
        <f t="shared" ref="AG5:AG43" ca="1" si="19">IF(AD5&gt;0,AC5*LN(AC5)," ")</f>
        <v>505.67017252941577</v>
      </c>
      <c r="AH5" s="252">
        <f t="shared" ref="AH5:AH43" ca="1" si="20">IF(AD5&gt;0,AD5*LN(AD5)," ")</f>
        <v>679.96100855169425</v>
      </c>
      <c r="AI5" s="252">
        <f t="shared" ref="AI5:AI43" ca="1" si="21">IF(AD5&gt;0,AE5*LN(AE5)," ")</f>
        <v>1354.3115578393611</v>
      </c>
      <c r="AJ5" s="252">
        <f t="shared" ref="AJ5:AJ43" ca="1" si="22">IF(AD5&gt;0,1/AE5," ")</f>
        <v>4.0650406504065045E-3</v>
      </c>
      <c r="AK5" s="27"/>
      <c r="AM5" s="292">
        <f t="shared" ca="1" si="1"/>
        <v>105</v>
      </c>
      <c r="AN5" s="456">
        <f t="shared" ca="1" si="2"/>
        <v>105</v>
      </c>
      <c r="AO5" s="414">
        <f t="shared" ca="1" si="3"/>
        <v>110</v>
      </c>
      <c r="AP5" s="528">
        <f t="shared" ref="AP5:AP43" ca="1" si="23">RANDBETWEEN(110,130)</f>
        <v>122</v>
      </c>
      <c r="AQ5" s="566">
        <f t="shared" ref="AQ5:AQ43" ca="1" si="24">RANDBETWEEN(120,140)</f>
        <v>130</v>
      </c>
    </row>
    <row r="6" spans="2:43" s="30" customFormat="1" ht="18.75" x14ac:dyDescent="0.3">
      <c r="B6" s="30">
        <v>8</v>
      </c>
      <c r="C6" s="30">
        <v>31</v>
      </c>
      <c r="D6" s="215">
        <f t="shared" si="4"/>
        <v>39</v>
      </c>
      <c r="E6" s="252">
        <f t="shared" si="5"/>
        <v>-10.836365302442482</v>
      </c>
      <c r="F6" s="252">
        <f t="shared" si="6"/>
        <v>16.635532333438686</v>
      </c>
      <c r="G6" s="252">
        <f t="shared" si="7"/>
        <v>106.45360333903953</v>
      </c>
      <c r="H6" s="252">
        <f t="shared" si="8"/>
        <v>142.87890419905619</v>
      </c>
      <c r="I6" s="252">
        <f t="shared" si="9"/>
        <v>2.564102564102564E-2</v>
      </c>
      <c r="K6" s="113" t="s">
        <v>579</v>
      </c>
      <c r="L6" s="30">
        <v>16</v>
      </c>
      <c r="M6" s="302">
        <v>64</v>
      </c>
      <c r="O6" s="292">
        <v>9.1</v>
      </c>
      <c r="P6" s="292">
        <v>7.7</v>
      </c>
      <c r="Q6" s="215">
        <f t="shared" si="10"/>
        <v>16.8</v>
      </c>
      <c r="R6" s="252">
        <f t="shared" si="11"/>
        <v>1.5201921704348111</v>
      </c>
      <c r="S6" s="252">
        <f t="shared" si="12"/>
        <v>20.09529716305752</v>
      </c>
      <c r="T6" s="252">
        <f t="shared" si="13"/>
        <v>15.717396532219215</v>
      </c>
      <c r="U6" s="252">
        <f t="shared" si="14"/>
        <v>47.399165291674784</v>
      </c>
      <c r="V6" s="252">
        <f t="shared" si="15"/>
        <v>5.9523809523809521E-2</v>
      </c>
      <c r="W6" s="27"/>
      <c r="Y6" s="292">
        <v>9.1</v>
      </c>
      <c r="Z6" s="292">
        <v>7.7</v>
      </c>
      <c r="AC6" s="292">
        <f t="shared" ca="1" si="0"/>
        <v>99</v>
      </c>
      <c r="AD6" s="566">
        <f t="shared" ca="1" si="16"/>
        <v>129</v>
      </c>
      <c r="AE6" s="215">
        <f t="shared" ca="1" si="17"/>
        <v>228</v>
      </c>
      <c r="AF6" s="252">
        <f t="shared" ca="1" si="18"/>
        <v>-26.204562868481133</v>
      </c>
      <c r="AG6" s="252">
        <f t="shared" ca="1" si="19"/>
        <v>454.91686516332442</v>
      </c>
      <c r="AH6" s="252">
        <f t="shared" ca="1" si="20"/>
        <v>626.91580016265573</v>
      </c>
      <c r="AI6" s="252">
        <f t="shared" ca="1" si="21"/>
        <v>1237.8908034016126</v>
      </c>
      <c r="AJ6" s="252">
        <f t="shared" ca="1" si="22"/>
        <v>4.3859649122807015E-3</v>
      </c>
      <c r="AK6" s="27"/>
      <c r="AM6" s="292">
        <f t="shared" ca="1" si="1"/>
        <v>95</v>
      </c>
      <c r="AN6" s="456">
        <f t="shared" ca="1" si="2"/>
        <v>98</v>
      </c>
      <c r="AO6" s="414">
        <f t="shared" ca="1" si="3"/>
        <v>116</v>
      </c>
      <c r="AP6" s="528">
        <f t="shared" ca="1" si="23"/>
        <v>113</v>
      </c>
      <c r="AQ6" s="566">
        <f t="shared" ca="1" si="24"/>
        <v>124</v>
      </c>
    </row>
    <row r="7" spans="2:43" s="30" customFormat="1" ht="18.75" x14ac:dyDescent="0.3">
      <c r="B7" s="30">
        <v>64</v>
      </c>
      <c r="C7" s="30">
        <v>64</v>
      </c>
      <c r="D7" s="215">
        <f t="shared" ref="D7:D13" si="25">IF(C7&gt;0,B7+C7," ")</f>
        <v>128</v>
      </c>
      <c r="E7" s="252">
        <f t="shared" ref="E7:E13" si="26">IF(C7&gt;0,(B7 * LN(B7/C7))," ")</f>
        <v>0</v>
      </c>
      <c r="F7" s="252">
        <f t="shared" ref="F7:F13" si="27">IF(C7&gt;0,B7*LN(B7)," ")</f>
        <v>266.16851733501898</v>
      </c>
      <c r="G7" s="252">
        <f t="shared" ref="G7:G13" si="28">IF(C7&gt;0,C7*LN(C7)," ")</f>
        <v>266.16851733501898</v>
      </c>
      <c r="H7" s="252">
        <f t="shared" ref="H7:H13" si="29">IF(C7&gt;0,D7*LN(D7)," ")</f>
        <v>621.05987378171096</v>
      </c>
      <c r="I7" s="252">
        <f t="shared" ref="I7:I13" si="30">IF(C7&gt;0,1/D7," ")</f>
        <v>7.8125E-3</v>
      </c>
      <c r="K7" s="113" t="s">
        <v>580</v>
      </c>
      <c r="L7" s="30">
        <v>9</v>
      </c>
      <c r="M7" s="302">
        <v>16</v>
      </c>
      <c r="O7" s="292">
        <v>7.2</v>
      </c>
      <c r="P7" s="292">
        <v>7.6</v>
      </c>
      <c r="Q7" s="215">
        <f t="shared" si="10"/>
        <v>14.8</v>
      </c>
      <c r="R7" s="252">
        <f t="shared" si="11"/>
        <v>-0.38928399314598505</v>
      </c>
      <c r="S7" s="252">
        <f t="shared" si="12"/>
        <v>14.213383387358469</v>
      </c>
      <c r="T7" s="252">
        <f t="shared" si="13"/>
        <v>15.413926679421367</v>
      </c>
      <c r="U7" s="252">
        <f t="shared" si="14"/>
        <v>39.880482275397029</v>
      </c>
      <c r="V7" s="252">
        <f t="shared" si="15"/>
        <v>6.7567567567567557E-2</v>
      </c>
      <c r="Y7" s="292">
        <v>7.2</v>
      </c>
      <c r="Z7" s="292">
        <v>7.6</v>
      </c>
      <c r="AC7" s="292">
        <f t="shared" ca="1" si="0"/>
        <v>92</v>
      </c>
      <c r="AD7" s="566">
        <f t="shared" ca="1" si="16"/>
        <v>139</v>
      </c>
      <c r="AE7" s="215">
        <f t="shared" ca="1" si="17"/>
        <v>231</v>
      </c>
      <c r="AF7" s="252">
        <f t="shared" ca="1" si="18"/>
        <v>-37.967052759511937</v>
      </c>
      <c r="AG7" s="252">
        <f t="shared" ca="1" si="19"/>
        <v>416.00454908851174</v>
      </c>
      <c r="AH7" s="252">
        <f t="shared" ca="1" si="20"/>
        <v>685.89187670516617</v>
      </c>
      <c r="AI7" s="252">
        <f t="shared" ca="1" si="21"/>
        <v>1257.1984911305342</v>
      </c>
      <c r="AJ7" s="252">
        <f t="shared" ca="1" si="22"/>
        <v>4.329004329004329E-3</v>
      </c>
      <c r="AM7" s="292">
        <f t="shared" ca="1" si="1"/>
        <v>110</v>
      </c>
      <c r="AN7" s="456">
        <f t="shared" ca="1" si="2"/>
        <v>105</v>
      </c>
      <c r="AO7" s="414">
        <f t="shared" ca="1" si="3"/>
        <v>107</v>
      </c>
      <c r="AP7" s="528">
        <f t="shared" ca="1" si="23"/>
        <v>112</v>
      </c>
      <c r="AQ7" s="566">
        <f t="shared" ca="1" si="24"/>
        <v>132</v>
      </c>
    </row>
    <row r="8" spans="2:43" s="30" customFormat="1" ht="18.75" x14ac:dyDescent="0.3">
      <c r="D8" s="522" t="str">
        <f t="shared" si="25"/>
        <v xml:space="preserve"> </v>
      </c>
      <c r="E8" s="252" t="str">
        <f t="shared" si="26"/>
        <v xml:space="preserve"> </v>
      </c>
      <c r="F8" s="252" t="str">
        <f t="shared" si="27"/>
        <v xml:space="preserve"> </v>
      </c>
      <c r="G8" s="252" t="str">
        <f t="shared" si="28"/>
        <v xml:space="preserve"> </v>
      </c>
      <c r="H8" s="252" t="str">
        <f t="shared" si="29"/>
        <v xml:space="preserve"> </v>
      </c>
      <c r="I8" s="252" t="str">
        <f t="shared" si="30"/>
        <v xml:space="preserve"> </v>
      </c>
      <c r="K8" s="27"/>
      <c r="L8" s="528"/>
      <c r="O8" s="292">
        <v>7.3</v>
      </c>
      <c r="P8" s="292">
        <v>7.4</v>
      </c>
      <c r="Q8" s="522">
        <f t="shared" si="10"/>
        <v>14.7</v>
      </c>
      <c r="R8" s="252">
        <f t="shared" si="11"/>
        <v>-9.9321260007184581E-2</v>
      </c>
      <c r="S8" s="252">
        <f t="shared" si="12"/>
        <v>14.511482741526722</v>
      </c>
      <c r="T8" s="252">
        <f t="shared" si="13"/>
        <v>14.81095200155492</v>
      </c>
      <c r="U8" s="252">
        <f t="shared" si="14"/>
        <v>39.511358158634948</v>
      </c>
      <c r="V8" s="252">
        <f t="shared" si="15"/>
        <v>6.8027210884353748E-2</v>
      </c>
      <c r="Y8" s="292">
        <v>7.3</v>
      </c>
      <c r="Z8" s="292">
        <v>7.4</v>
      </c>
      <c r="AC8" s="292">
        <f t="shared" ca="1" si="0"/>
        <v>97</v>
      </c>
      <c r="AD8" s="566">
        <f t="shared" ca="1" si="16"/>
        <v>123</v>
      </c>
      <c r="AE8" s="522">
        <f t="shared" ca="1" si="17"/>
        <v>220</v>
      </c>
      <c r="AF8" s="252">
        <f t="shared" ca="1" si="18"/>
        <v>-23.034917556296367</v>
      </c>
      <c r="AG8" s="252">
        <f t="shared" ca="1" si="19"/>
        <v>443.74696491482814</v>
      </c>
      <c r="AH8" s="252">
        <f t="shared" ca="1" si="20"/>
        <v>591.89867571080731</v>
      </c>
      <c r="AI8" s="252">
        <f t="shared" ca="1" si="21"/>
        <v>1186.5980601975195</v>
      </c>
      <c r="AJ8" s="252">
        <f t="shared" ca="1" si="22"/>
        <v>4.5454545454545452E-3</v>
      </c>
      <c r="AM8" s="292">
        <f t="shared" ca="1" si="1"/>
        <v>100</v>
      </c>
      <c r="AN8" s="456">
        <f t="shared" ca="1" si="2"/>
        <v>111</v>
      </c>
      <c r="AO8" s="414">
        <f t="shared" ca="1" si="3"/>
        <v>103</v>
      </c>
      <c r="AP8" s="528">
        <f t="shared" ca="1" si="23"/>
        <v>113</v>
      </c>
      <c r="AQ8" s="566">
        <f t="shared" ca="1" si="24"/>
        <v>129</v>
      </c>
    </row>
    <row r="9" spans="2:43" s="30" customFormat="1" ht="18.75" x14ac:dyDescent="0.3">
      <c r="D9" s="522" t="str">
        <f t="shared" si="25"/>
        <v xml:space="preserve"> </v>
      </c>
      <c r="E9" s="252" t="str">
        <f t="shared" si="26"/>
        <v xml:space="preserve"> </v>
      </c>
      <c r="F9" s="252" t="str">
        <f t="shared" si="27"/>
        <v xml:space="preserve"> </v>
      </c>
      <c r="G9" s="252" t="str">
        <f t="shared" si="28"/>
        <v xml:space="preserve"> </v>
      </c>
      <c r="H9" s="252" t="str">
        <f t="shared" si="29"/>
        <v xml:space="preserve"> </v>
      </c>
      <c r="I9" s="252" t="str">
        <f t="shared" si="30"/>
        <v xml:space="preserve"> </v>
      </c>
      <c r="K9" s="27"/>
      <c r="L9" s="528"/>
      <c r="O9" s="292">
        <v>7.2</v>
      </c>
      <c r="P9" s="292">
        <v>6.7</v>
      </c>
      <c r="Q9" s="522">
        <f t="shared" si="10"/>
        <v>13.9</v>
      </c>
      <c r="R9" s="252">
        <f t="shared" si="11"/>
        <v>0.51820919730064252</v>
      </c>
      <c r="S9" s="252">
        <f t="shared" si="12"/>
        <v>14.213383387358469</v>
      </c>
      <c r="T9" s="252">
        <f t="shared" si="13"/>
        <v>12.744120426859368</v>
      </c>
      <c r="U9" s="252">
        <f t="shared" si="14"/>
        <v>36.583254877899378</v>
      </c>
      <c r="V9" s="252">
        <f t="shared" si="15"/>
        <v>7.1942446043165464E-2</v>
      </c>
      <c r="Y9" s="292">
        <v>7.2</v>
      </c>
      <c r="Z9" s="292">
        <v>6.7</v>
      </c>
      <c r="AC9" s="292">
        <f t="shared" ca="1" si="0"/>
        <v>91</v>
      </c>
      <c r="AD9" s="566">
        <f t="shared" ca="1" si="16"/>
        <v>139</v>
      </c>
      <c r="AE9" s="522">
        <f t="shared" ca="1" si="17"/>
        <v>230</v>
      </c>
      <c r="AF9" s="252">
        <f t="shared" ca="1" si="18"/>
        <v>-38.548912821859588</v>
      </c>
      <c r="AG9" s="252">
        <f t="shared" ca="1" si="19"/>
        <v>410.48821509303332</v>
      </c>
      <c r="AH9" s="252">
        <f t="shared" ca="1" si="20"/>
        <v>685.89187670516617</v>
      </c>
      <c r="AI9" s="252">
        <f t="shared" ca="1" si="21"/>
        <v>1250.7582410523351</v>
      </c>
      <c r="AJ9" s="252">
        <f t="shared" ca="1" si="22"/>
        <v>4.3478260869565218E-3</v>
      </c>
      <c r="AM9" s="292">
        <f t="shared" ca="1" si="1"/>
        <v>107</v>
      </c>
      <c r="AN9" s="456">
        <f t="shared" ca="1" si="2"/>
        <v>109</v>
      </c>
      <c r="AO9" s="414">
        <f t="shared" ca="1" si="3"/>
        <v>114</v>
      </c>
      <c r="AP9" s="528">
        <f t="shared" ca="1" si="23"/>
        <v>130</v>
      </c>
      <c r="AQ9" s="566">
        <f t="shared" ca="1" si="24"/>
        <v>122</v>
      </c>
    </row>
    <row r="10" spans="2:43" s="30" customFormat="1" ht="18.75" x14ac:dyDescent="0.3">
      <c r="D10" s="522" t="str">
        <f t="shared" si="25"/>
        <v xml:space="preserve"> </v>
      </c>
      <c r="E10" s="252" t="str">
        <f t="shared" si="26"/>
        <v xml:space="preserve"> </v>
      </c>
      <c r="F10" s="252" t="str">
        <f t="shared" si="27"/>
        <v xml:space="preserve"> </v>
      </c>
      <c r="G10" s="252" t="str">
        <f t="shared" si="28"/>
        <v xml:space="preserve"> </v>
      </c>
      <c r="H10" s="252" t="str">
        <f t="shared" si="29"/>
        <v xml:space="preserve"> </v>
      </c>
      <c r="I10" s="252" t="str">
        <f t="shared" si="30"/>
        <v xml:space="preserve"> </v>
      </c>
      <c r="L10" s="528"/>
      <c r="O10" s="292">
        <v>7.5</v>
      </c>
      <c r="P10" s="292">
        <v>7.2</v>
      </c>
      <c r="Q10" s="522">
        <f t="shared" si="10"/>
        <v>14.7</v>
      </c>
      <c r="R10" s="252">
        <f t="shared" si="11"/>
        <v>0.30616495890191397</v>
      </c>
      <c r="S10" s="252">
        <f t="shared" si="12"/>
        <v>15.111772654066986</v>
      </c>
      <c r="T10" s="252">
        <f t="shared" si="13"/>
        <v>14.213383387358469</v>
      </c>
      <c r="U10" s="252">
        <f t="shared" si="14"/>
        <v>39.511358158634948</v>
      </c>
      <c r="V10" s="252">
        <f t="shared" si="15"/>
        <v>6.8027210884353748E-2</v>
      </c>
      <c r="Y10" s="292">
        <v>7.5</v>
      </c>
      <c r="Z10" s="292">
        <v>7.2</v>
      </c>
      <c r="AC10" s="292">
        <f t="shared" ca="1" si="0"/>
        <v>96</v>
      </c>
      <c r="AD10" s="566">
        <f t="shared" ca="1" si="16"/>
        <v>140</v>
      </c>
      <c r="AE10" s="522">
        <f t="shared" ca="1" si="17"/>
        <v>236</v>
      </c>
      <c r="AF10" s="252">
        <f t="shared" ca="1" si="18"/>
        <v>-36.220246189580934</v>
      </c>
      <c r="AG10" s="252">
        <f t="shared" ca="1" si="19"/>
        <v>438.17742638091227</v>
      </c>
      <c r="AH10" s="252">
        <f t="shared" ca="1" si="20"/>
        <v>691.82993916530256</v>
      </c>
      <c r="AI10" s="252">
        <f t="shared" ca="1" si="21"/>
        <v>1289.4643059860441</v>
      </c>
      <c r="AJ10" s="252">
        <f t="shared" ca="1" si="22"/>
        <v>4.2372881355932203E-3</v>
      </c>
      <c r="AM10" s="292">
        <f t="shared" ca="1" si="1"/>
        <v>109</v>
      </c>
      <c r="AN10" s="456">
        <f t="shared" ca="1" si="2"/>
        <v>105</v>
      </c>
      <c r="AO10" s="414">
        <f t="shared" ca="1" si="3"/>
        <v>106</v>
      </c>
      <c r="AP10" s="528">
        <f t="shared" ca="1" si="23"/>
        <v>123</v>
      </c>
      <c r="AQ10" s="566">
        <f t="shared" ca="1" si="24"/>
        <v>124</v>
      </c>
    </row>
    <row r="11" spans="2:43" s="30" customFormat="1" ht="18.75" x14ac:dyDescent="0.3">
      <c r="D11" s="522" t="str">
        <f t="shared" si="25"/>
        <v xml:space="preserve"> </v>
      </c>
      <c r="E11" s="252" t="str">
        <f t="shared" si="26"/>
        <v xml:space="preserve"> </v>
      </c>
      <c r="F11" s="252" t="str">
        <f t="shared" si="27"/>
        <v xml:space="preserve"> </v>
      </c>
      <c r="G11" s="252" t="str">
        <f t="shared" si="28"/>
        <v xml:space="preserve"> </v>
      </c>
      <c r="H11" s="252" t="str">
        <f t="shared" si="29"/>
        <v xml:space="preserve"> </v>
      </c>
      <c r="I11" s="252" t="str">
        <f t="shared" si="30"/>
        <v xml:space="preserve"> </v>
      </c>
      <c r="L11" s="528"/>
      <c r="Q11" s="522" t="str">
        <f t="shared" si="10"/>
        <v xml:space="preserve"> </v>
      </c>
      <c r="R11" s="252" t="str">
        <f t="shared" si="11"/>
        <v xml:space="preserve"> </v>
      </c>
      <c r="S11" s="252" t="str">
        <f t="shared" si="12"/>
        <v xml:space="preserve"> </v>
      </c>
      <c r="T11" s="252" t="str">
        <f t="shared" si="13"/>
        <v xml:space="preserve"> </v>
      </c>
      <c r="U11" s="252" t="str">
        <f t="shared" si="14"/>
        <v xml:space="preserve"> </v>
      </c>
      <c r="V11" s="252" t="str">
        <f t="shared" si="15"/>
        <v xml:space="preserve"> </v>
      </c>
      <c r="AC11" s="292">
        <f t="shared" ca="1" si="0"/>
        <v>109</v>
      </c>
      <c r="AD11" s="566">
        <f t="shared" ca="1" si="16"/>
        <v>139</v>
      </c>
      <c r="AE11" s="522">
        <f t="shared" ca="1" si="17"/>
        <v>248</v>
      </c>
      <c r="AF11" s="252">
        <f t="shared" ca="1" si="18"/>
        <v>-26.500739548268736</v>
      </c>
      <c r="AG11" s="252">
        <f t="shared" ca="1" si="19"/>
        <v>511.35691916297662</v>
      </c>
      <c r="AH11" s="252">
        <f t="shared" ca="1" si="20"/>
        <v>685.89187670516617</v>
      </c>
      <c r="AI11" s="252">
        <f t="shared" ca="1" si="21"/>
        <v>1367.3303290489157</v>
      </c>
      <c r="AJ11" s="252">
        <f t="shared" ca="1" si="22"/>
        <v>4.0322580645161289E-3</v>
      </c>
      <c r="AM11" s="292">
        <f t="shared" ca="1" si="1"/>
        <v>109</v>
      </c>
      <c r="AN11" s="456">
        <f t="shared" ca="1" si="2"/>
        <v>112</v>
      </c>
      <c r="AO11" s="414">
        <f t="shared" ca="1" si="3"/>
        <v>111</v>
      </c>
      <c r="AP11" s="528">
        <f t="shared" ca="1" si="23"/>
        <v>118</v>
      </c>
      <c r="AQ11" s="566">
        <f t="shared" ca="1" si="24"/>
        <v>133</v>
      </c>
    </row>
    <row r="12" spans="2:43" s="30" customFormat="1" ht="18.75" x14ac:dyDescent="0.3">
      <c r="D12" s="522" t="str">
        <f t="shared" si="25"/>
        <v xml:space="preserve"> </v>
      </c>
      <c r="E12" s="252" t="str">
        <f t="shared" si="26"/>
        <v xml:space="preserve"> </v>
      </c>
      <c r="F12" s="252" t="str">
        <f t="shared" si="27"/>
        <v xml:space="preserve"> </v>
      </c>
      <c r="G12" s="252" t="str">
        <f t="shared" si="28"/>
        <v xml:space="preserve"> </v>
      </c>
      <c r="H12" s="252" t="str">
        <f t="shared" si="29"/>
        <v xml:space="preserve"> </v>
      </c>
      <c r="I12" s="252" t="str">
        <f t="shared" si="30"/>
        <v xml:space="preserve"> </v>
      </c>
      <c r="L12" s="528"/>
      <c r="Q12" s="522" t="str">
        <f t="shared" si="10"/>
        <v xml:space="preserve"> </v>
      </c>
      <c r="R12" s="252" t="str">
        <f t="shared" si="11"/>
        <v xml:space="preserve"> </v>
      </c>
      <c r="S12" s="252" t="str">
        <f t="shared" si="12"/>
        <v xml:space="preserve"> </v>
      </c>
      <c r="T12" s="252" t="str">
        <f t="shared" si="13"/>
        <v xml:space="preserve"> </v>
      </c>
      <c r="U12" s="252" t="str">
        <f t="shared" si="14"/>
        <v xml:space="preserve"> </v>
      </c>
      <c r="V12" s="252" t="str">
        <f t="shared" si="15"/>
        <v xml:space="preserve"> </v>
      </c>
      <c r="AC12" s="292">
        <f t="shared" ca="1" si="0"/>
        <v>98</v>
      </c>
      <c r="AD12" s="566">
        <f t="shared" ca="1" si="16"/>
        <v>125</v>
      </c>
      <c r="AE12" s="522">
        <f t="shared" ca="1" si="17"/>
        <v>223</v>
      </c>
      <c r="AF12" s="252">
        <f t="shared" ca="1" si="18"/>
        <v>-23.84793334590946</v>
      </c>
      <c r="AG12" s="252">
        <f t="shared" ca="1" si="19"/>
        <v>449.32681290971607</v>
      </c>
      <c r="AH12" s="252">
        <f t="shared" ca="1" si="20"/>
        <v>603.53921716278774</v>
      </c>
      <c r="AI12" s="252">
        <f t="shared" ca="1" si="21"/>
        <v>1205.7993050356065</v>
      </c>
      <c r="AJ12" s="252">
        <f t="shared" ca="1" si="22"/>
        <v>4.4843049327354259E-3</v>
      </c>
      <c r="AM12" s="292">
        <f t="shared" ca="1" si="1"/>
        <v>104</v>
      </c>
      <c r="AN12" s="456">
        <f t="shared" ca="1" si="2"/>
        <v>98</v>
      </c>
      <c r="AO12" s="414">
        <f t="shared" ca="1" si="3"/>
        <v>104</v>
      </c>
      <c r="AP12" s="528">
        <f t="shared" ca="1" si="23"/>
        <v>117</v>
      </c>
      <c r="AQ12" s="566">
        <f t="shared" ca="1" si="24"/>
        <v>121</v>
      </c>
    </row>
    <row r="13" spans="2:43" ht="18.75" x14ac:dyDescent="0.3">
      <c r="B13" s="30"/>
      <c r="C13" s="30"/>
      <c r="D13" s="522" t="str">
        <f t="shared" si="25"/>
        <v xml:space="preserve"> </v>
      </c>
      <c r="E13" s="252" t="str">
        <f t="shared" si="26"/>
        <v xml:space="preserve"> </v>
      </c>
      <c r="F13" s="252" t="str">
        <f t="shared" si="27"/>
        <v xml:space="preserve"> </v>
      </c>
      <c r="G13" s="252" t="str">
        <f t="shared" si="28"/>
        <v xml:space="preserve"> </v>
      </c>
      <c r="H13" s="252" t="str">
        <f t="shared" si="29"/>
        <v xml:space="preserve"> </v>
      </c>
      <c r="I13" s="252" t="str">
        <f t="shared" si="30"/>
        <v xml:space="preserve"> </v>
      </c>
      <c r="J13" s="523"/>
      <c r="O13" s="30"/>
      <c r="P13" s="30"/>
      <c r="Q13" s="522" t="str">
        <f t="shared" si="10"/>
        <v xml:space="preserve"> </v>
      </c>
      <c r="R13" s="252" t="str">
        <f t="shared" si="11"/>
        <v xml:space="preserve"> </v>
      </c>
      <c r="S13" s="252" t="str">
        <f t="shared" si="12"/>
        <v xml:space="preserve"> </v>
      </c>
      <c r="T13" s="252" t="str">
        <f t="shared" si="13"/>
        <v xml:space="preserve"> </v>
      </c>
      <c r="U13" s="252" t="str">
        <f t="shared" si="14"/>
        <v xml:space="preserve"> </v>
      </c>
      <c r="V13" s="252" t="str">
        <f t="shared" si="15"/>
        <v xml:space="preserve"> </v>
      </c>
      <c r="W13" s="523"/>
      <c r="AC13" s="292">
        <f t="shared" ca="1" si="0"/>
        <v>102</v>
      </c>
      <c r="AD13" s="566">
        <f t="shared" ca="1" si="16"/>
        <v>127</v>
      </c>
      <c r="AE13" s="522">
        <f t="shared" ca="1" si="17"/>
        <v>229</v>
      </c>
      <c r="AF13" s="252">
        <f t="shared" ca="1" si="18"/>
        <v>-22.359855863780659</v>
      </c>
      <c r="AG13" s="252">
        <f t="shared" ca="1" si="19"/>
        <v>471.7472269549956</v>
      </c>
      <c r="AH13" s="252">
        <f t="shared" ca="1" si="20"/>
        <v>615.21175998024103</v>
      </c>
      <c r="AI13" s="252">
        <f t="shared" ca="1" si="21"/>
        <v>1244.3223388139209</v>
      </c>
      <c r="AJ13" s="252">
        <f t="shared" ca="1" si="22"/>
        <v>4.3668122270742356E-3</v>
      </c>
      <c r="AK13" s="30"/>
      <c r="AL13" s="30"/>
      <c r="AM13" s="292">
        <f t="shared" ca="1" si="1"/>
        <v>96</v>
      </c>
      <c r="AN13" s="456">
        <f t="shared" ca="1" si="2"/>
        <v>101</v>
      </c>
      <c r="AO13" s="414">
        <f t="shared" ca="1" si="3"/>
        <v>114</v>
      </c>
      <c r="AP13" s="528">
        <f t="shared" ca="1" si="23"/>
        <v>127</v>
      </c>
      <c r="AQ13" s="566">
        <f t="shared" ca="1" si="24"/>
        <v>128</v>
      </c>
    </row>
    <row r="14" spans="2:43" ht="18.75" x14ac:dyDescent="0.3">
      <c r="B14" s="30">
        <f>COUNT(B4:B13)</f>
        <v>4</v>
      </c>
      <c r="C14" s="30">
        <f>COUNT(C4:C13)</f>
        <v>4</v>
      </c>
      <c r="D14" s="30">
        <f>B14 + C14</f>
        <v>8</v>
      </c>
      <c r="E14" s="30"/>
      <c r="F14" s="30"/>
      <c r="G14" s="30"/>
      <c r="H14" s="30">
        <f>COUNT(H4:H13)</f>
        <v>4</v>
      </c>
      <c r="I14" s="30">
        <f>COUNT(I4:I13)</f>
        <v>4</v>
      </c>
      <c r="J14" s="525"/>
      <c r="O14" s="30">
        <f>COUNT(O4:O13)</f>
        <v>7</v>
      </c>
      <c r="P14" s="30">
        <f>COUNT(P4:P13)</f>
        <v>7</v>
      </c>
      <c r="Q14" s="30">
        <f>O14 + P14</f>
        <v>14</v>
      </c>
      <c r="R14" s="30"/>
      <c r="S14" s="30"/>
      <c r="T14" s="30"/>
      <c r="U14" s="30">
        <f>COUNT(U4:U13)</f>
        <v>7</v>
      </c>
      <c r="V14" s="30">
        <f>COUNT(V4:V13)</f>
        <v>7</v>
      </c>
      <c r="W14" s="525"/>
      <c r="AC14" s="292">
        <f t="shared" ca="1" si="0"/>
        <v>106</v>
      </c>
      <c r="AD14" s="566">
        <f t="shared" ca="1" si="16"/>
        <v>139</v>
      </c>
      <c r="AE14" s="522">
        <f t="shared" ca="1" si="17"/>
        <v>245</v>
      </c>
      <c r="AF14" s="252">
        <f t="shared" ca="1" si="18"/>
        <v>-28.729692935974207</v>
      </c>
      <c r="AG14" s="252">
        <f t="shared" ca="1" si="19"/>
        <v>494.32454397587907</v>
      </c>
      <c r="AH14" s="252">
        <f t="shared" ca="1" si="20"/>
        <v>685.89187670516617</v>
      </c>
      <c r="AI14" s="252">
        <f t="shared" ca="1" si="21"/>
        <v>1347.8082615834583</v>
      </c>
      <c r="AJ14" s="252">
        <f t="shared" ca="1" si="22"/>
        <v>4.0816326530612249E-3</v>
      </c>
      <c r="AK14" s="30"/>
      <c r="AL14" s="30"/>
      <c r="AM14" s="292">
        <f t="shared" ca="1" si="1"/>
        <v>99</v>
      </c>
      <c r="AN14" s="456">
        <f t="shared" ca="1" si="2"/>
        <v>97</v>
      </c>
      <c r="AO14" s="414">
        <f t="shared" ca="1" si="3"/>
        <v>108</v>
      </c>
      <c r="AP14" s="528">
        <f t="shared" ca="1" si="23"/>
        <v>120</v>
      </c>
      <c r="AQ14" s="566">
        <f t="shared" ca="1" si="24"/>
        <v>124</v>
      </c>
    </row>
    <row r="15" spans="2:43" ht="18.75" x14ac:dyDescent="0.3">
      <c r="B15" s="25">
        <f>SUM(B4:B13)</f>
        <v>374</v>
      </c>
      <c r="C15" s="25">
        <f>SUM(C4:C13)</f>
        <v>297</v>
      </c>
      <c r="D15" s="543">
        <f>SUM(D4:D13)</f>
        <v>671</v>
      </c>
      <c r="E15" s="543">
        <f t="shared" ref="E15:H15" si="31">SUM(E4:E13)</f>
        <v>114.79140508477654</v>
      </c>
      <c r="F15" s="529">
        <f t="shared" si="31"/>
        <v>1911.8414288235597</v>
      </c>
      <c r="G15" s="529">
        <f t="shared" si="31"/>
        <v>1402.183193431747</v>
      </c>
      <c r="H15" s="577">
        <f t="shared" si="31"/>
        <v>3760.4003883783066</v>
      </c>
      <c r="I15" s="565">
        <f>SUM(I4:I13)</f>
        <v>6.0608698054818749E-2</v>
      </c>
      <c r="O15" s="25">
        <f>SUM(O4:O13)</f>
        <v>52.6</v>
      </c>
      <c r="P15" s="25">
        <f>SUM(P4:P13)</f>
        <v>52.900000000000006</v>
      </c>
      <c r="Q15" s="571">
        <f>SUM(Q4:Q13)</f>
        <v>105.50000000000001</v>
      </c>
      <c r="R15" s="571">
        <f t="shared" ref="R15:U15" si="32">SUM(R4:R13)</f>
        <v>2.19935870422443E-2</v>
      </c>
      <c r="S15" s="573">
        <f t="shared" si="32"/>
        <v>106.27537568746226</v>
      </c>
      <c r="T15" s="573">
        <f t="shared" si="32"/>
        <v>107.14936683054094</v>
      </c>
      <c r="U15" s="580">
        <f t="shared" si="32"/>
        <v>286.38995263730624</v>
      </c>
      <c r="V15" s="565">
        <f>SUM(V4:V13)</f>
        <v>0.46608139558818157</v>
      </c>
      <c r="AC15" s="292">
        <f t="shared" ca="1" si="0"/>
        <v>90</v>
      </c>
      <c r="AD15" s="566">
        <f t="shared" ca="1" si="16"/>
        <v>138</v>
      </c>
      <c r="AE15" s="522">
        <f t="shared" ca="1" si="17"/>
        <v>228</v>
      </c>
      <c r="AF15" s="252">
        <f t="shared" ca="1" si="18"/>
        <v>-38.469961334424568</v>
      </c>
      <c r="AG15" s="252">
        <f t="shared" ca="1" si="19"/>
        <v>404.98287032972382</v>
      </c>
      <c r="AH15" s="252">
        <f t="shared" ca="1" si="20"/>
        <v>679.96100855169425</v>
      </c>
      <c r="AI15" s="252">
        <f t="shared" ca="1" si="21"/>
        <v>1237.8908034016126</v>
      </c>
      <c r="AJ15" s="252">
        <f t="shared" ca="1" si="22"/>
        <v>4.3859649122807015E-3</v>
      </c>
      <c r="AK15" s="30"/>
      <c r="AL15" s="30"/>
      <c r="AM15" s="292">
        <f t="shared" ca="1" si="1"/>
        <v>92</v>
      </c>
      <c r="AN15" s="456">
        <f t="shared" ca="1" si="2"/>
        <v>97</v>
      </c>
      <c r="AO15" s="414">
        <f t="shared" ca="1" si="3"/>
        <v>102</v>
      </c>
      <c r="AP15" s="528">
        <f t="shared" ca="1" si="23"/>
        <v>123</v>
      </c>
      <c r="AQ15" s="566">
        <f t="shared" ca="1" si="24"/>
        <v>126</v>
      </c>
    </row>
    <row r="16" spans="2:43" ht="18.75" x14ac:dyDescent="0.3">
      <c r="B16" s="31">
        <f>LN(B15)</f>
        <v>5.9242557974145322</v>
      </c>
      <c r="C16" s="31">
        <f>LN(C15)</f>
        <v>5.6937321388026998</v>
      </c>
      <c r="D16" s="31">
        <f>LN(D15)</f>
        <v>6.508769136971682</v>
      </c>
      <c r="E16" s="24"/>
      <c r="F16" s="26"/>
      <c r="G16" s="30"/>
      <c r="H16" s="526" t="s">
        <v>23</v>
      </c>
      <c r="I16" s="529">
        <f>I14 - 1</f>
        <v>3</v>
      </c>
      <c r="O16" s="31">
        <f>LN(O15)</f>
        <v>3.9627161197436642</v>
      </c>
      <c r="P16" s="31">
        <f>LN(P15)</f>
        <v>3.9684033388642539</v>
      </c>
      <c r="Q16" s="31">
        <f>LN(Q15)</f>
        <v>4.6587109529161213</v>
      </c>
      <c r="R16" s="24"/>
      <c r="S16" s="26"/>
      <c r="T16" s="30"/>
      <c r="U16" s="526" t="s">
        <v>23</v>
      </c>
      <c r="V16" s="529">
        <f>V14 - 1</f>
        <v>6</v>
      </c>
      <c r="AC16" s="292">
        <f t="shared" ca="1" si="0"/>
        <v>100</v>
      </c>
      <c r="AD16" s="566">
        <f t="shared" ca="1" si="16"/>
        <v>126</v>
      </c>
      <c r="AE16" s="522">
        <f t="shared" ca="1" si="17"/>
        <v>226</v>
      </c>
      <c r="AF16" s="252">
        <f t="shared" ca="1" si="18"/>
        <v>-23.11117209633867</v>
      </c>
      <c r="AG16" s="252">
        <f t="shared" ca="1" si="19"/>
        <v>460.51701859880916</v>
      </c>
      <c r="AH16" s="252">
        <f t="shared" ca="1" si="20"/>
        <v>609.37152027588627</v>
      </c>
      <c r="AI16" s="252">
        <f t="shared" ca="1" si="21"/>
        <v>1225.0409098355367</v>
      </c>
      <c r="AJ16" s="252">
        <f t="shared" ca="1" si="22"/>
        <v>4.4247787610619468E-3</v>
      </c>
      <c r="AK16" s="30"/>
      <c r="AL16" s="30"/>
      <c r="AM16" s="292">
        <f t="shared" ca="1" si="1"/>
        <v>95</v>
      </c>
      <c r="AN16" s="456">
        <f t="shared" ca="1" si="2"/>
        <v>99</v>
      </c>
      <c r="AO16" s="414">
        <f t="shared" ca="1" si="3"/>
        <v>106</v>
      </c>
      <c r="AP16" s="528">
        <f t="shared" ca="1" si="23"/>
        <v>123</v>
      </c>
      <c r="AQ16" s="566">
        <f t="shared" ca="1" si="24"/>
        <v>120</v>
      </c>
    </row>
    <row r="17" spans="2:43" ht="18.75" x14ac:dyDescent="0.3">
      <c r="B17" s="578">
        <f>B15*B16</f>
        <v>2215.6716682330352</v>
      </c>
      <c r="C17" s="578">
        <f t="shared" ref="C17:D17" si="33">C15*C16</f>
        <v>1691.0384452244018</v>
      </c>
      <c r="D17" s="570">
        <f t="shared" si="33"/>
        <v>4367.3840909079991</v>
      </c>
      <c r="E17" s="30"/>
      <c r="F17" s="30"/>
      <c r="G17" s="30"/>
      <c r="H17" s="30"/>
      <c r="I17" s="30"/>
      <c r="O17" s="581">
        <f>O15*O16</f>
        <v>208.43886789851675</v>
      </c>
      <c r="P17" s="581">
        <f t="shared" ref="P17" si="34">P15*P16</f>
        <v>209.92853662591907</v>
      </c>
      <c r="Q17" s="579">
        <f t="shared" ref="Q17" si="35">Q15*Q16</f>
        <v>491.49400553265087</v>
      </c>
      <c r="R17" s="30"/>
      <c r="S17" s="30"/>
      <c r="T17" s="30"/>
      <c r="U17" s="30"/>
      <c r="V17" s="30"/>
      <c r="AC17" s="292">
        <f t="shared" ca="1" si="0"/>
        <v>93</v>
      </c>
      <c r="AD17" s="566">
        <f t="shared" ca="1" si="16"/>
        <v>134</v>
      </c>
      <c r="AE17" s="522">
        <f t="shared" ca="1" si="17"/>
        <v>227</v>
      </c>
      <c r="AF17" s="252">
        <f t="shared" ca="1" si="18"/>
        <v>-33.967348532181951</v>
      </c>
      <c r="AG17" s="252">
        <f t="shared" ca="1" si="19"/>
        <v>421.53175286325285</v>
      </c>
      <c r="AH17" s="252">
        <f t="shared" ca="1" si="20"/>
        <v>656.31053319342209</v>
      </c>
      <c r="AI17" s="252">
        <f t="shared" ca="1" si="21"/>
        <v>1231.4636539682785</v>
      </c>
      <c r="AJ17" s="252">
        <f t="shared" ca="1" si="22"/>
        <v>4.4052863436123352E-3</v>
      </c>
      <c r="AK17" s="30"/>
      <c r="AL17" s="30"/>
      <c r="AM17" s="292">
        <f t="shared" ca="1" si="1"/>
        <v>96</v>
      </c>
      <c r="AN17" s="456">
        <f t="shared" ca="1" si="2"/>
        <v>103</v>
      </c>
      <c r="AO17" s="414">
        <f t="shared" ca="1" si="3"/>
        <v>104</v>
      </c>
      <c r="AP17" s="528">
        <f t="shared" ca="1" si="23"/>
        <v>120</v>
      </c>
      <c r="AQ17" s="566">
        <f t="shared" ca="1" si="24"/>
        <v>124</v>
      </c>
    </row>
    <row r="18" spans="2:43" ht="18.75" x14ac:dyDescent="0.3">
      <c r="B18" s="30"/>
      <c r="C18" s="30"/>
      <c r="D18" s="30"/>
      <c r="E18" s="30"/>
      <c r="F18" s="30"/>
      <c r="G18" s="30"/>
      <c r="H18" s="30"/>
      <c r="I18" s="30"/>
      <c r="O18" s="30"/>
      <c r="P18" s="30"/>
      <c r="Q18" s="30"/>
      <c r="R18" s="30"/>
      <c r="S18" s="30"/>
      <c r="T18" s="30"/>
      <c r="U18" s="30"/>
      <c r="V18" s="30"/>
      <c r="AC18" s="292">
        <f t="shared" ca="1" si="0"/>
        <v>100</v>
      </c>
      <c r="AD18" s="566">
        <f t="shared" ca="1" si="16"/>
        <v>139</v>
      </c>
      <c r="AE18" s="522">
        <f t="shared" ca="1" si="17"/>
        <v>239</v>
      </c>
      <c r="AF18" s="252">
        <f t="shared" ca="1" si="18"/>
        <v>-32.93037471426004</v>
      </c>
      <c r="AG18" s="252">
        <f t="shared" ca="1" si="19"/>
        <v>460.51701859880916</v>
      </c>
      <c r="AH18" s="252">
        <f t="shared" ca="1" si="20"/>
        <v>685.89187670516617</v>
      </c>
      <c r="AI18" s="252">
        <f t="shared" ca="1" si="21"/>
        <v>1308.8747889116312</v>
      </c>
      <c r="AJ18" s="252">
        <f t="shared" ca="1" si="22"/>
        <v>4.1841004184100415E-3</v>
      </c>
      <c r="AK18" s="30"/>
      <c r="AL18" s="30"/>
      <c r="AM18" s="292">
        <f t="shared" ca="1" si="1"/>
        <v>92</v>
      </c>
      <c r="AN18" s="456">
        <f t="shared" ca="1" si="2"/>
        <v>106</v>
      </c>
      <c r="AO18" s="414">
        <f t="shared" ca="1" si="3"/>
        <v>116</v>
      </c>
      <c r="AP18" s="528">
        <f t="shared" ca="1" si="23"/>
        <v>110</v>
      </c>
      <c r="AQ18" s="566">
        <f t="shared" ca="1" si="24"/>
        <v>124</v>
      </c>
    </row>
    <row r="19" spans="2:43" ht="18.75" x14ac:dyDescent="0.3">
      <c r="B19" s="25">
        <v>1</v>
      </c>
      <c r="C19" s="39">
        <f>SUM(F4:G13)</f>
        <v>3314.0246222553064</v>
      </c>
      <c r="D19" s="33" t="s">
        <v>162</v>
      </c>
      <c r="E19" s="30"/>
      <c r="F19" s="30"/>
      <c r="G19" s="191" t="s">
        <v>567</v>
      </c>
      <c r="H19" s="574">
        <f>F15 + G15</f>
        <v>3314.0246222553069</v>
      </c>
      <c r="I19" s="110"/>
      <c r="O19" s="25">
        <v>1</v>
      </c>
      <c r="P19" s="39">
        <f>SUM(S4:T13)</f>
        <v>213.42474251800317</v>
      </c>
      <c r="Q19" s="33" t="s">
        <v>162</v>
      </c>
      <c r="R19" s="30"/>
      <c r="S19" s="30"/>
      <c r="T19" s="191" t="s">
        <v>567</v>
      </c>
      <c r="U19" s="574">
        <f>S15 + T15</f>
        <v>213.4247425180032</v>
      </c>
      <c r="V19" s="110"/>
      <c r="AC19" s="292">
        <f t="shared" ca="1" si="0"/>
        <v>106</v>
      </c>
      <c r="AD19" s="566">
        <f t="shared" ca="1" si="16"/>
        <v>139</v>
      </c>
      <c r="AE19" s="522">
        <f t="shared" ca="1" si="17"/>
        <v>245</v>
      </c>
      <c r="AF19" s="252">
        <f t="shared" ca="1" si="18"/>
        <v>-28.729692935974207</v>
      </c>
      <c r="AG19" s="252">
        <f t="shared" ca="1" si="19"/>
        <v>494.32454397587907</v>
      </c>
      <c r="AH19" s="252">
        <f t="shared" ca="1" si="20"/>
        <v>685.89187670516617</v>
      </c>
      <c r="AI19" s="252">
        <f t="shared" ca="1" si="21"/>
        <v>1347.8082615834583</v>
      </c>
      <c r="AJ19" s="252">
        <f t="shared" ca="1" si="22"/>
        <v>4.0816326530612249E-3</v>
      </c>
      <c r="AK19" s="30"/>
      <c r="AL19" s="30"/>
      <c r="AM19" s="292">
        <f t="shared" ca="1" si="1"/>
        <v>109</v>
      </c>
      <c r="AN19" s="456">
        <f t="shared" ca="1" si="2"/>
        <v>98</v>
      </c>
      <c r="AO19" s="414">
        <f t="shared" ca="1" si="3"/>
        <v>101</v>
      </c>
      <c r="AP19" s="528">
        <f t="shared" ca="1" si="23"/>
        <v>116</v>
      </c>
      <c r="AQ19" s="566">
        <f t="shared" ca="1" si="24"/>
        <v>135</v>
      </c>
    </row>
    <row r="20" spans="2:43" ht="18.75" x14ac:dyDescent="0.3">
      <c r="B20" s="25">
        <v>2</v>
      </c>
      <c r="C20" s="39">
        <f>SUM(H4:H13)</f>
        <v>3760.4003883783066</v>
      </c>
      <c r="D20" s="33" t="s">
        <v>163</v>
      </c>
      <c r="E20" s="30"/>
      <c r="F20" s="30"/>
      <c r="G20" s="191" t="s">
        <v>568</v>
      </c>
      <c r="H20" s="575">
        <f>H15</f>
        <v>3760.4003883783066</v>
      </c>
      <c r="I20" s="35"/>
      <c r="O20" s="25">
        <v>2</v>
      </c>
      <c r="P20" s="39">
        <f>SUM(U4:U13)</f>
        <v>286.38995263730624</v>
      </c>
      <c r="Q20" s="33" t="s">
        <v>163</v>
      </c>
      <c r="R20" s="30"/>
      <c r="S20" s="30"/>
      <c r="T20" s="191" t="s">
        <v>568</v>
      </c>
      <c r="U20" s="575">
        <f>U15</f>
        <v>286.38995263730624</v>
      </c>
      <c r="V20" s="35"/>
      <c r="AC20" s="292">
        <f t="shared" ca="1" si="0"/>
        <v>95</v>
      </c>
      <c r="AD20" s="566">
        <f t="shared" ca="1" si="16"/>
        <v>124</v>
      </c>
      <c r="AE20" s="522">
        <f t="shared" ca="1" si="17"/>
        <v>219</v>
      </c>
      <c r="AF20" s="252">
        <f t="shared" ca="1" si="18"/>
        <v>-25.308444030427122</v>
      </c>
      <c r="AG20" s="252">
        <f t="shared" ca="1" si="19"/>
        <v>432.61830470205138</v>
      </c>
      <c r="AH20" s="252">
        <f t="shared" ca="1" si="20"/>
        <v>597.71491413502463</v>
      </c>
      <c r="AI20" s="252">
        <f t="shared" ca="1" si="21"/>
        <v>1180.2067088298138</v>
      </c>
      <c r="AJ20" s="252">
        <f t="shared" ca="1" si="22"/>
        <v>4.5662100456621002E-3</v>
      </c>
      <c r="AK20" s="30"/>
      <c r="AL20" s="30"/>
      <c r="AM20" s="292">
        <f t="shared" ca="1" si="1"/>
        <v>108</v>
      </c>
      <c r="AN20" s="456">
        <f t="shared" ca="1" si="2"/>
        <v>104</v>
      </c>
      <c r="AO20" s="414">
        <f t="shared" ca="1" si="3"/>
        <v>103</v>
      </c>
      <c r="AP20" s="528">
        <f t="shared" ca="1" si="23"/>
        <v>128</v>
      </c>
      <c r="AQ20" s="566">
        <f t="shared" ca="1" si="24"/>
        <v>123</v>
      </c>
    </row>
    <row r="21" spans="2:43" s="30" customFormat="1" ht="18.75" x14ac:dyDescent="0.3">
      <c r="B21" s="25">
        <v>3</v>
      </c>
      <c r="C21" s="39">
        <f>((B15*LN(B15)) + (C15*LN(C15)))</f>
        <v>3906.7101134574368</v>
      </c>
      <c r="D21" s="33" t="s">
        <v>164</v>
      </c>
      <c r="G21" s="572" t="s">
        <v>570</v>
      </c>
      <c r="H21" s="576">
        <f>B17 + C17</f>
        <v>3906.7101134574368</v>
      </c>
      <c r="I21" s="525"/>
      <c r="O21" s="25">
        <v>3</v>
      </c>
      <c r="P21" s="39">
        <f>((O15*LN(O15)) + (P15*LN(P15)))</f>
        <v>418.36740452443581</v>
      </c>
      <c r="Q21" s="33" t="s">
        <v>164</v>
      </c>
      <c r="T21" s="572" t="s">
        <v>570</v>
      </c>
      <c r="U21" s="576">
        <f>O17 + P17</f>
        <v>418.36740452443581</v>
      </c>
      <c r="V21" s="525"/>
      <c r="AC21" s="292">
        <f t="shared" ca="1" si="0"/>
        <v>107</v>
      </c>
      <c r="AD21" s="566">
        <f t="shared" ca="1" si="16"/>
        <v>121</v>
      </c>
      <c r="AE21" s="522">
        <f t="shared" ca="1" si="17"/>
        <v>228</v>
      </c>
      <c r="AF21" s="252">
        <f t="shared" ca="1" si="18"/>
        <v>-13.156903091427329</v>
      </c>
      <c r="AG21" s="252">
        <f t="shared" ca="1" si="19"/>
        <v>499.99268528742391</v>
      </c>
      <c r="AH21" s="252">
        <f t="shared" ca="1" si="20"/>
        <v>580.29065601720572</v>
      </c>
      <c r="AI21" s="252">
        <f t="shared" ca="1" si="21"/>
        <v>1237.8908034016126</v>
      </c>
      <c r="AJ21" s="252">
        <f t="shared" ca="1" si="22"/>
        <v>4.3859649122807015E-3</v>
      </c>
      <c r="AM21" s="292">
        <f t="shared" ca="1" si="1"/>
        <v>105</v>
      </c>
      <c r="AN21" s="456">
        <f t="shared" ca="1" si="2"/>
        <v>111</v>
      </c>
      <c r="AO21" s="414">
        <f t="shared" ca="1" si="3"/>
        <v>105</v>
      </c>
      <c r="AP21" s="528">
        <f t="shared" ca="1" si="23"/>
        <v>127</v>
      </c>
      <c r="AQ21" s="566">
        <f t="shared" ca="1" si="24"/>
        <v>134</v>
      </c>
    </row>
    <row r="22" spans="2:43" s="30" customFormat="1" ht="18.75" x14ac:dyDescent="0.3">
      <c r="B22" s="25">
        <v>4</v>
      </c>
      <c r="C22" s="39">
        <f>D15*LN(D15)</f>
        <v>4367.3840909079991</v>
      </c>
      <c r="D22" s="33" t="s">
        <v>163</v>
      </c>
      <c r="G22" s="191" t="s">
        <v>569</v>
      </c>
      <c r="H22" s="570">
        <f>D17</f>
        <v>4367.3840909079991</v>
      </c>
      <c r="O22" s="25">
        <v>4</v>
      </c>
      <c r="P22" s="39">
        <f>Q15*LN(Q15)</f>
        <v>491.49400553265087</v>
      </c>
      <c r="Q22" s="33" t="s">
        <v>163</v>
      </c>
      <c r="T22" s="191" t="s">
        <v>569</v>
      </c>
      <c r="U22" s="570">
        <f>Q17</f>
        <v>491.49400553265087</v>
      </c>
      <c r="AC22" s="292">
        <f t="shared" ca="1" si="0"/>
        <v>110</v>
      </c>
      <c r="AD22" s="566">
        <f t="shared" ca="1" si="16"/>
        <v>132</v>
      </c>
      <c r="AE22" s="522">
        <f t="shared" ca="1" si="17"/>
        <v>242</v>
      </c>
      <c r="AF22" s="252">
        <f t="shared" ca="1" si="18"/>
        <v>-20.055371247335007</v>
      </c>
      <c r="AG22" s="252">
        <f t="shared" ca="1" si="19"/>
        <v>517.05284023716581</v>
      </c>
      <c r="AH22" s="252">
        <f t="shared" ca="1" si="20"/>
        <v>644.5298537814009</v>
      </c>
      <c r="AI22" s="252">
        <f t="shared" ca="1" si="21"/>
        <v>1328.3229297299181</v>
      </c>
      <c r="AJ22" s="252">
        <f t="shared" ca="1" si="22"/>
        <v>4.1322314049586778E-3</v>
      </c>
      <c r="AM22" s="292">
        <f t="shared" ca="1" si="1"/>
        <v>106</v>
      </c>
      <c r="AN22" s="456">
        <f t="shared" ca="1" si="2"/>
        <v>109</v>
      </c>
      <c r="AO22" s="414">
        <f t="shared" ca="1" si="3"/>
        <v>112</v>
      </c>
      <c r="AP22" s="528">
        <f t="shared" ca="1" si="23"/>
        <v>118</v>
      </c>
      <c r="AQ22" s="566">
        <f t="shared" ca="1" si="24"/>
        <v>138</v>
      </c>
    </row>
    <row r="23" spans="2:43" s="30" customFormat="1" ht="18.75" x14ac:dyDescent="0.3">
      <c r="B23" s="25">
        <v>5</v>
      </c>
      <c r="C23" s="37">
        <f>2*(C19 - C20 - C21 + C22)</f>
        <v>28.596422655124115</v>
      </c>
      <c r="D23" s="406" t="s">
        <v>297</v>
      </c>
      <c r="E23" s="33" t="s">
        <v>29</v>
      </c>
      <c r="K23" s="37">
        <f xml:space="preserve"> 2 * (C19 - C20 - C21 + C22)</f>
        <v>28.596422655124115</v>
      </c>
      <c r="O23" s="25">
        <v>5</v>
      </c>
      <c r="P23" s="37">
        <f>2*(P19 - P20 - P21 + P22)</f>
        <v>0.32278177782393414</v>
      </c>
      <c r="Q23" s="406" t="s">
        <v>297</v>
      </c>
      <c r="R23" s="33" t="s">
        <v>29</v>
      </c>
      <c r="X23" s="37">
        <f xml:space="preserve"> 2 * (P19 - P20 - P21 + P22)</f>
        <v>0.32278177782393414</v>
      </c>
      <c r="AC23" s="292">
        <f t="shared" ca="1" si="0"/>
        <v>103</v>
      </c>
      <c r="AD23" s="566">
        <f t="shared" ca="1" si="16"/>
        <v>136</v>
      </c>
      <c r="AE23" s="522">
        <f t="shared" ca="1" si="17"/>
        <v>239</v>
      </c>
      <c r="AF23" s="252">
        <f t="shared" ca="1" si="18"/>
        <v>-28.626367443160877</v>
      </c>
      <c r="AG23" s="252">
        <f t="shared" ca="1" si="19"/>
        <v>477.3770857876525</v>
      </c>
      <c r="AH23" s="252">
        <f t="shared" ca="1" si="20"/>
        <v>668.12106446010307</v>
      </c>
      <c r="AI23" s="252">
        <f t="shared" ca="1" si="21"/>
        <v>1308.8747889116312</v>
      </c>
      <c r="AJ23" s="252">
        <f t="shared" ca="1" si="22"/>
        <v>4.1841004184100415E-3</v>
      </c>
      <c r="AM23" s="292">
        <f t="shared" ca="1" si="1"/>
        <v>99</v>
      </c>
      <c r="AN23" s="456">
        <f t="shared" ca="1" si="2"/>
        <v>99</v>
      </c>
      <c r="AO23" s="414">
        <f t="shared" ca="1" si="3"/>
        <v>111</v>
      </c>
      <c r="AP23" s="528">
        <f t="shared" ca="1" si="23"/>
        <v>128</v>
      </c>
      <c r="AQ23" s="566">
        <f t="shared" ca="1" si="24"/>
        <v>120</v>
      </c>
    </row>
    <row r="24" spans="2:43" s="30" customFormat="1" ht="18.75" x14ac:dyDescent="0.3">
      <c r="B24" s="25">
        <v>6</v>
      </c>
      <c r="C24" s="161">
        <f>1 + ((E24*F24)/G24)</f>
        <v>1.0100283728761037</v>
      </c>
      <c r="D24" s="33" t="s">
        <v>323</v>
      </c>
      <c r="E24" s="31">
        <f>(D15*I15) - 1</f>
        <v>39.668436394783377</v>
      </c>
      <c r="F24" s="31">
        <f>(D15*(1/B15 + 1/C15)) - 1</f>
        <v>3.0533769063180829</v>
      </c>
      <c r="G24" s="30">
        <f xml:space="preserve"> 6*D15*(2-1)*(I14 - 1)</f>
        <v>12078</v>
      </c>
      <c r="H24" s="178" t="s">
        <v>536</v>
      </c>
      <c r="O24" s="25">
        <v>6</v>
      </c>
      <c r="P24" s="161">
        <f>1 + ((R24*S24)/T24)</f>
        <v>1.0380506371226697</v>
      </c>
      <c r="Q24" s="33" t="s">
        <v>323</v>
      </c>
      <c r="R24" s="31">
        <f>(Q15*V15) - 1</f>
        <v>48.171587234553165</v>
      </c>
      <c r="S24" s="31">
        <f>(Q15*(1/O15 + 1/P15)) - 1</f>
        <v>3.0000323445485062</v>
      </c>
      <c r="T24" s="30">
        <f xml:space="preserve"> 6*Q15*(2-1)*(V14 - 1)</f>
        <v>3798.0000000000009</v>
      </c>
      <c r="U24" s="178" t="s">
        <v>536</v>
      </c>
      <c r="X24" s="33" t="s">
        <v>571</v>
      </c>
      <c r="AC24" s="292">
        <f t="shared" ca="1" si="0"/>
        <v>104</v>
      </c>
      <c r="AD24" s="566">
        <f t="shared" ca="1" si="16"/>
        <v>140</v>
      </c>
      <c r="AE24" s="522">
        <f t="shared" ca="1" si="17"/>
        <v>244</v>
      </c>
      <c r="AF24" s="252">
        <f t="shared" ca="1" si="18"/>
        <v>-30.914158440664885</v>
      </c>
      <c r="AG24" s="252">
        <f t="shared" ca="1" si="19"/>
        <v>483.01665351070272</v>
      </c>
      <c r="AH24" s="252">
        <f t="shared" ca="1" si="20"/>
        <v>691.82993916530256</v>
      </c>
      <c r="AI24" s="252">
        <f t="shared" ca="1" si="21"/>
        <v>1341.3090469715414</v>
      </c>
      <c r="AJ24" s="252">
        <f t="shared" ca="1" si="22"/>
        <v>4.0983606557377051E-3</v>
      </c>
      <c r="AM24" s="292">
        <f t="shared" ca="1" si="1"/>
        <v>104</v>
      </c>
      <c r="AN24" s="456">
        <f t="shared" ca="1" si="2"/>
        <v>108</v>
      </c>
      <c r="AO24" s="414">
        <f t="shared" ca="1" si="3"/>
        <v>102</v>
      </c>
      <c r="AP24" s="528">
        <f t="shared" ca="1" si="23"/>
        <v>111</v>
      </c>
      <c r="AQ24" s="566">
        <f t="shared" ca="1" si="24"/>
        <v>139</v>
      </c>
    </row>
    <row r="25" spans="2:43" s="30" customFormat="1" ht="18.75" x14ac:dyDescent="0.3">
      <c r="B25" s="23"/>
      <c r="C25" s="37">
        <f>C23/C24</f>
        <v>28.312494404186335</v>
      </c>
      <c r="D25" s="590" t="s">
        <v>298</v>
      </c>
      <c r="E25" s="591"/>
      <c r="F25"/>
      <c r="G25"/>
      <c r="H25"/>
      <c r="I25"/>
      <c r="O25" s="23"/>
      <c r="P25" s="37">
        <f>P23/P24</f>
        <v>0.31094993469551718</v>
      </c>
      <c r="Q25" s="590" t="s">
        <v>298</v>
      </c>
      <c r="R25" s="591"/>
      <c r="S25"/>
      <c r="T25"/>
      <c r="U25"/>
      <c r="V25"/>
      <c r="AC25" s="292">
        <f t="shared" ca="1" si="0"/>
        <v>107</v>
      </c>
      <c r="AD25" s="566">
        <f t="shared" ca="1" si="16"/>
        <v>124</v>
      </c>
      <c r="AE25" s="522">
        <f t="shared" ca="1" si="17"/>
        <v>231</v>
      </c>
      <c r="AF25" s="252">
        <f t="shared" ca="1" si="18"/>
        <v>-15.777442232314982</v>
      </c>
      <c r="AG25" s="252">
        <f t="shared" ca="1" si="19"/>
        <v>499.99268528742391</v>
      </c>
      <c r="AH25" s="252">
        <f t="shared" ca="1" si="20"/>
        <v>597.71491413502463</v>
      </c>
      <c r="AI25" s="252">
        <f t="shared" ca="1" si="21"/>
        <v>1257.1984911305342</v>
      </c>
      <c r="AJ25" s="252">
        <f t="shared" ca="1" si="22"/>
        <v>4.329004329004329E-3</v>
      </c>
      <c r="AM25" s="292">
        <f t="shared" ca="1" si="1"/>
        <v>106</v>
      </c>
      <c r="AN25" s="456">
        <f t="shared" ca="1" si="2"/>
        <v>105</v>
      </c>
      <c r="AO25" s="414">
        <f t="shared" ca="1" si="3"/>
        <v>104</v>
      </c>
      <c r="AP25" s="528">
        <f t="shared" ca="1" si="23"/>
        <v>116</v>
      </c>
      <c r="AQ25" s="566">
        <f t="shared" ca="1" si="24"/>
        <v>123</v>
      </c>
    </row>
    <row r="26" spans="2:43" s="30" customFormat="1" ht="18.75" x14ac:dyDescent="0.3">
      <c r="B26"/>
      <c r="C26"/>
      <c r="D26"/>
      <c r="E26"/>
      <c r="F26"/>
      <c r="G26"/>
      <c r="H26"/>
      <c r="I26"/>
      <c r="O26"/>
      <c r="P26"/>
      <c r="Q26"/>
      <c r="R26"/>
      <c r="S26"/>
      <c r="T26"/>
      <c r="U26"/>
      <c r="V26"/>
      <c r="AC26" s="292">
        <f t="shared" ca="1" si="0"/>
        <v>108</v>
      </c>
      <c r="AD26" s="566">
        <f t="shared" ca="1" si="16"/>
        <v>123</v>
      </c>
      <c r="AE26" s="522">
        <f t="shared" ca="1" si="17"/>
        <v>231</v>
      </c>
      <c r="AF26" s="252">
        <f t="shared" ca="1" si="18"/>
        <v>-14.045737850805361</v>
      </c>
      <c r="AG26" s="252">
        <f t="shared" ca="1" si="19"/>
        <v>505.67017252941577</v>
      </c>
      <c r="AH26" s="252">
        <f t="shared" ca="1" si="20"/>
        <v>591.89867571080731</v>
      </c>
      <c r="AI26" s="252">
        <f t="shared" ca="1" si="21"/>
        <v>1257.1984911305342</v>
      </c>
      <c r="AJ26" s="252">
        <f t="shared" ca="1" si="22"/>
        <v>4.329004329004329E-3</v>
      </c>
      <c r="AM26" s="292">
        <f t="shared" ca="1" si="1"/>
        <v>106</v>
      </c>
      <c r="AN26" s="456">
        <f t="shared" ca="1" si="2"/>
        <v>101</v>
      </c>
      <c r="AO26" s="414">
        <f t="shared" ca="1" si="3"/>
        <v>110</v>
      </c>
      <c r="AP26" s="528">
        <f t="shared" ca="1" si="23"/>
        <v>126</v>
      </c>
      <c r="AQ26" s="566">
        <f t="shared" ca="1" si="24"/>
        <v>138</v>
      </c>
    </row>
    <row r="27" spans="2:43" s="30" customFormat="1" ht="18.75" x14ac:dyDescent="0.3">
      <c r="B27" s="25" t="s">
        <v>299</v>
      </c>
      <c r="O27" s="25" t="s">
        <v>299</v>
      </c>
      <c r="AC27" s="292">
        <f t="shared" ca="1" si="0"/>
        <v>106</v>
      </c>
      <c r="AD27" s="566">
        <f t="shared" ca="1" si="16"/>
        <v>133</v>
      </c>
      <c r="AE27" s="522">
        <f t="shared" ca="1" si="17"/>
        <v>239</v>
      </c>
      <c r="AF27" s="252">
        <f t="shared" ca="1" si="18"/>
        <v>-24.052463615626788</v>
      </c>
      <c r="AG27" s="252">
        <f t="shared" ca="1" si="19"/>
        <v>494.32454397587907</v>
      </c>
      <c r="AH27" s="252">
        <f t="shared" ca="1" si="20"/>
        <v>650.41643405349328</v>
      </c>
      <c r="AI27" s="252">
        <f t="shared" ca="1" si="21"/>
        <v>1308.8747889116312</v>
      </c>
      <c r="AJ27" s="252">
        <f t="shared" ca="1" si="22"/>
        <v>4.1841004184100415E-3</v>
      </c>
      <c r="AM27" s="292">
        <f t="shared" ca="1" si="1"/>
        <v>92</v>
      </c>
      <c r="AN27" s="456">
        <f t="shared" ca="1" si="2"/>
        <v>100</v>
      </c>
      <c r="AO27" s="414">
        <f t="shared" ca="1" si="3"/>
        <v>102</v>
      </c>
      <c r="AP27" s="528">
        <f t="shared" ca="1" si="23"/>
        <v>111</v>
      </c>
      <c r="AQ27" s="566">
        <f t="shared" ca="1" si="24"/>
        <v>122</v>
      </c>
    </row>
    <row r="28" spans="2:43" s="30" customFormat="1" ht="18.75" x14ac:dyDescent="0.3">
      <c r="C28" s="30" t="s">
        <v>581</v>
      </c>
      <c r="P28" s="30" t="s">
        <v>367</v>
      </c>
      <c r="AC28" s="292">
        <f t="shared" ca="1" si="0"/>
        <v>95</v>
      </c>
      <c r="AD28" s="566">
        <f t="shared" ca="1" si="16"/>
        <v>134</v>
      </c>
      <c r="AE28" s="522">
        <f t="shared" ca="1" si="17"/>
        <v>229</v>
      </c>
      <c r="AF28" s="252">
        <f t="shared" ca="1" si="18"/>
        <v>-32.676476293285191</v>
      </c>
      <c r="AG28" s="252">
        <f t="shared" ca="1" si="19"/>
        <v>432.61830470205138</v>
      </c>
      <c r="AH28" s="252">
        <f t="shared" ca="1" si="20"/>
        <v>656.31053319342209</v>
      </c>
      <c r="AI28" s="252">
        <f t="shared" ca="1" si="21"/>
        <v>1244.3223388139209</v>
      </c>
      <c r="AJ28" s="252">
        <f t="shared" ca="1" si="22"/>
        <v>4.3668122270742356E-3</v>
      </c>
      <c r="AM28" s="292">
        <f t="shared" ca="1" si="1"/>
        <v>91</v>
      </c>
      <c r="AN28" s="456">
        <f t="shared" ca="1" si="2"/>
        <v>115</v>
      </c>
      <c r="AO28" s="414">
        <f t="shared" ca="1" si="3"/>
        <v>114</v>
      </c>
      <c r="AP28" s="528">
        <f t="shared" ca="1" si="23"/>
        <v>126</v>
      </c>
      <c r="AQ28" s="566">
        <f t="shared" ca="1" si="24"/>
        <v>134</v>
      </c>
    </row>
    <row r="29" spans="2:43" ht="18.75" x14ac:dyDescent="0.3">
      <c r="B29" s="30"/>
      <c r="C29" s="30"/>
      <c r="D29" s="30" t="s">
        <v>368</v>
      </c>
      <c r="E29" s="30"/>
      <c r="F29" s="30"/>
      <c r="G29" s="30"/>
      <c r="H29" s="30"/>
      <c r="I29" s="30"/>
      <c r="O29" s="30"/>
      <c r="P29" s="30"/>
      <c r="Q29" s="30" t="s">
        <v>368</v>
      </c>
      <c r="R29" s="30"/>
      <c r="S29" s="30"/>
      <c r="T29" s="30"/>
      <c r="U29" s="30"/>
      <c r="V29" s="30"/>
      <c r="AC29" s="292">
        <f t="shared" ca="1" si="0"/>
        <v>94</v>
      </c>
      <c r="AD29" s="566">
        <f t="shared" ca="1" si="16"/>
        <v>132</v>
      </c>
      <c r="AE29" s="522">
        <f t="shared" ca="1" si="17"/>
        <v>226</v>
      </c>
      <c r="AF29" s="252">
        <f t="shared" ca="1" si="18"/>
        <v>-31.913671189738491</v>
      </c>
      <c r="AG29" s="252">
        <f t="shared" ca="1" si="19"/>
        <v>427.06970953338038</v>
      </c>
      <c r="AH29" s="252">
        <f t="shared" ca="1" si="20"/>
        <v>644.5298537814009</v>
      </c>
      <c r="AI29" s="252">
        <f t="shared" ca="1" si="21"/>
        <v>1225.0409098355367</v>
      </c>
      <c r="AJ29" s="252">
        <f t="shared" ca="1" si="22"/>
        <v>4.4247787610619468E-3</v>
      </c>
      <c r="AK29" s="30"/>
      <c r="AL29" s="30"/>
      <c r="AM29" s="292">
        <f t="shared" ca="1" si="1"/>
        <v>105</v>
      </c>
      <c r="AN29" s="456">
        <f t="shared" ca="1" si="2"/>
        <v>114</v>
      </c>
      <c r="AO29" s="414">
        <f t="shared" ca="1" si="3"/>
        <v>101</v>
      </c>
      <c r="AP29" s="528">
        <f t="shared" ca="1" si="23"/>
        <v>123</v>
      </c>
      <c r="AQ29" s="566">
        <f t="shared" ca="1" si="24"/>
        <v>127</v>
      </c>
    </row>
    <row r="30" spans="2:43" ht="18.75" x14ac:dyDescent="0.3">
      <c r="B30" s="30"/>
      <c r="C30" s="30"/>
      <c r="D30" s="30" t="s">
        <v>339</v>
      </c>
      <c r="E30" s="30"/>
      <c r="F30" s="30"/>
      <c r="G30" s="30"/>
      <c r="H30" s="30"/>
      <c r="I30" s="30"/>
      <c r="O30" s="30"/>
      <c r="P30" s="30"/>
      <c r="Q30" s="30" t="s">
        <v>339</v>
      </c>
      <c r="R30" s="30"/>
      <c r="S30" s="30"/>
      <c r="T30" s="30"/>
      <c r="U30" s="30"/>
      <c r="V30" s="30"/>
      <c r="AC30" s="292">
        <f t="shared" ca="1" si="0"/>
        <v>95</v>
      </c>
      <c r="AD30" s="566">
        <f t="shared" ca="1" si="16"/>
        <v>137</v>
      </c>
      <c r="AE30" s="522">
        <f t="shared" ca="1" si="17"/>
        <v>232</v>
      </c>
      <c r="AF30" s="252">
        <f t="shared" ca="1" si="18"/>
        <v>-34.779883251620483</v>
      </c>
      <c r="AG30" s="252">
        <f t="shared" ca="1" si="19"/>
        <v>432.61830470205138</v>
      </c>
      <c r="AH30" s="252">
        <f t="shared" ca="1" si="20"/>
        <v>674.03738683845313</v>
      </c>
      <c r="AI30" s="252">
        <f t="shared" ca="1" si="21"/>
        <v>1263.6430702265839</v>
      </c>
      <c r="AJ30" s="252">
        <f t="shared" ca="1" si="22"/>
        <v>4.3103448275862068E-3</v>
      </c>
      <c r="AK30" s="30"/>
      <c r="AL30" s="30"/>
      <c r="AM30" s="292">
        <f t="shared" ca="1" si="1"/>
        <v>99</v>
      </c>
      <c r="AN30" s="456">
        <f t="shared" ca="1" si="2"/>
        <v>111</v>
      </c>
      <c r="AO30" s="414">
        <f t="shared" ca="1" si="3"/>
        <v>113</v>
      </c>
      <c r="AP30" s="528">
        <f t="shared" ca="1" si="23"/>
        <v>115</v>
      </c>
      <c r="AQ30" s="566">
        <f t="shared" ca="1" si="24"/>
        <v>129</v>
      </c>
    </row>
    <row r="31" spans="2:43" ht="18.75" x14ac:dyDescent="0.3">
      <c r="B31" s="30"/>
      <c r="C31" s="30" t="s">
        <v>300</v>
      </c>
      <c r="D31" s="30"/>
      <c r="E31" s="30"/>
      <c r="F31" s="30"/>
      <c r="G31" s="30"/>
      <c r="H31" s="30"/>
      <c r="I31" s="30"/>
      <c r="O31" s="30"/>
      <c r="P31" s="30" t="s">
        <v>300</v>
      </c>
      <c r="Q31" s="30"/>
      <c r="R31" s="30"/>
      <c r="S31" s="30"/>
      <c r="T31" s="30"/>
      <c r="U31" s="30"/>
      <c r="V31" s="30"/>
      <c r="AC31" s="292">
        <f t="shared" ca="1" si="0"/>
        <v>100</v>
      </c>
      <c r="AD31" s="566">
        <f t="shared" ca="1" si="16"/>
        <v>135</v>
      </c>
      <c r="AE31" s="522">
        <f t="shared" ca="1" si="17"/>
        <v>235</v>
      </c>
      <c r="AF31" s="252">
        <f t="shared" ca="1" si="18"/>
        <v>-30.010459245033815</v>
      </c>
      <c r="AG31" s="252">
        <f t="shared" ca="1" si="19"/>
        <v>460.51701859880916</v>
      </c>
      <c r="AH31" s="252">
        <f t="shared" ca="1" si="20"/>
        <v>662.21209508918798</v>
      </c>
      <c r="AI31" s="252">
        <f t="shared" ca="1" si="21"/>
        <v>1283.0025958238773</v>
      </c>
      <c r="AJ31" s="252">
        <f t="shared" ca="1" si="22"/>
        <v>4.2553191489361703E-3</v>
      </c>
      <c r="AK31" s="30"/>
      <c r="AL31" s="30"/>
      <c r="AM31" s="292">
        <f t="shared" ca="1" si="1"/>
        <v>102</v>
      </c>
      <c r="AN31" s="456">
        <f t="shared" ca="1" si="2"/>
        <v>95</v>
      </c>
      <c r="AO31" s="414">
        <f t="shared" ca="1" si="3"/>
        <v>119</v>
      </c>
      <c r="AP31" s="528">
        <f t="shared" ca="1" si="23"/>
        <v>114</v>
      </c>
      <c r="AQ31" s="566">
        <f t="shared" ca="1" si="24"/>
        <v>124</v>
      </c>
    </row>
    <row r="32" spans="2:43" ht="18.75" x14ac:dyDescent="0.3">
      <c r="B32" s="30"/>
      <c r="C32" s="30" t="s">
        <v>301</v>
      </c>
      <c r="D32" s="30"/>
      <c r="E32" s="30"/>
      <c r="F32" s="30"/>
      <c r="G32" s="30"/>
      <c r="H32" s="30"/>
      <c r="I32" s="30"/>
      <c r="O32" s="30"/>
      <c r="P32" s="30" t="s">
        <v>301</v>
      </c>
      <c r="Q32" s="30"/>
      <c r="R32" s="30"/>
      <c r="S32" s="30"/>
      <c r="T32" s="30"/>
      <c r="U32" s="30"/>
      <c r="V32" s="30"/>
      <c r="AC32" s="292">
        <f t="shared" ca="1" si="0"/>
        <v>94</v>
      </c>
      <c r="AD32" s="566">
        <f t="shared" ca="1" si="16"/>
        <v>128</v>
      </c>
      <c r="AE32" s="522">
        <f t="shared" ca="1" si="17"/>
        <v>222</v>
      </c>
      <c r="AF32" s="252">
        <f t="shared" ca="1" si="18"/>
        <v>-29.021135275063649</v>
      </c>
      <c r="AG32" s="252">
        <f t="shared" ca="1" si="19"/>
        <v>427.06970953338038</v>
      </c>
      <c r="AH32" s="252">
        <f t="shared" ca="1" si="20"/>
        <v>621.05987378171096</v>
      </c>
      <c r="AI32" s="252">
        <f t="shared" ca="1" si="21"/>
        <v>1199.3943787756459</v>
      </c>
      <c r="AJ32" s="252">
        <f t="shared" ca="1" si="22"/>
        <v>4.5045045045045045E-3</v>
      </c>
      <c r="AK32" s="30"/>
      <c r="AL32" s="30"/>
      <c r="AM32" s="292">
        <f t="shared" ca="1" si="1"/>
        <v>103</v>
      </c>
      <c r="AN32" s="456">
        <f t="shared" ca="1" si="2"/>
        <v>102</v>
      </c>
      <c r="AO32" s="414">
        <f t="shared" ca="1" si="3"/>
        <v>112</v>
      </c>
      <c r="AP32" s="528">
        <f t="shared" ca="1" si="23"/>
        <v>122</v>
      </c>
      <c r="AQ32" s="566">
        <f t="shared" ca="1" si="24"/>
        <v>140</v>
      </c>
    </row>
    <row r="33" spans="2:43" ht="18.75" x14ac:dyDescent="0.3">
      <c r="B33" s="30"/>
      <c r="C33" s="30"/>
      <c r="D33" s="30" t="s">
        <v>322</v>
      </c>
      <c r="E33" s="30"/>
      <c r="F33" s="30"/>
      <c r="G33" s="30"/>
      <c r="H33" s="30"/>
      <c r="I33" s="30"/>
      <c r="O33" s="30"/>
      <c r="P33" s="30"/>
      <c r="Q33" s="30" t="s">
        <v>322</v>
      </c>
      <c r="R33" s="30"/>
      <c r="S33" s="30"/>
      <c r="T33" s="30"/>
      <c r="U33" s="30"/>
      <c r="V33" s="30"/>
      <c r="AC33" s="292">
        <f t="shared" ca="1" si="0"/>
        <v>107</v>
      </c>
      <c r="AD33" s="566">
        <f t="shared" ca="1" si="16"/>
        <v>135</v>
      </c>
      <c r="AE33" s="522">
        <f t="shared" ca="1" si="17"/>
        <v>242</v>
      </c>
      <c r="AF33" s="252">
        <f t="shared" ca="1" si="18"/>
        <v>-24.871716005487986</v>
      </c>
      <c r="AG33" s="252">
        <f t="shared" ca="1" si="19"/>
        <v>499.99268528742391</v>
      </c>
      <c r="AH33" s="252">
        <f t="shared" ca="1" si="20"/>
        <v>662.21209508918798</v>
      </c>
      <c r="AI33" s="252">
        <f t="shared" ca="1" si="21"/>
        <v>1328.3229297299181</v>
      </c>
      <c r="AJ33" s="252">
        <f t="shared" ca="1" si="22"/>
        <v>4.1322314049586778E-3</v>
      </c>
      <c r="AK33" s="30"/>
      <c r="AL33" s="30"/>
      <c r="AM33" s="292">
        <f t="shared" ca="1" si="1"/>
        <v>110</v>
      </c>
      <c r="AN33" s="456">
        <f t="shared" ca="1" si="2"/>
        <v>113</v>
      </c>
      <c r="AO33" s="414">
        <f t="shared" ca="1" si="3"/>
        <v>114</v>
      </c>
      <c r="AP33" s="528">
        <f t="shared" ca="1" si="23"/>
        <v>112</v>
      </c>
      <c r="AQ33" s="566">
        <f t="shared" ca="1" si="24"/>
        <v>130</v>
      </c>
    </row>
    <row r="34" spans="2:43" ht="18.75" x14ac:dyDescent="0.3">
      <c r="B34" s="30"/>
      <c r="C34" s="30"/>
      <c r="D34" s="30" t="s">
        <v>366</v>
      </c>
      <c r="E34" s="30"/>
      <c r="F34" s="30"/>
      <c r="G34" s="30"/>
      <c r="H34" s="30"/>
      <c r="I34" s="30"/>
      <c r="O34" s="30"/>
      <c r="P34" s="30"/>
      <c r="Q34" s="30" t="s">
        <v>366</v>
      </c>
      <c r="R34" s="30"/>
      <c r="S34" s="30"/>
      <c r="T34" s="30"/>
      <c r="U34" s="30"/>
      <c r="V34" s="30"/>
      <c r="AC34" s="292">
        <f t="shared" ca="1" si="0"/>
        <v>101</v>
      </c>
      <c r="AD34" s="566">
        <f t="shared" ca="1" si="16"/>
        <v>139</v>
      </c>
      <c r="AE34" s="522">
        <f t="shared" ca="1" si="17"/>
        <v>240</v>
      </c>
      <c r="AF34" s="252">
        <f t="shared" ca="1" si="18"/>
        <v>-32.254695045232658</v>
      </c>
      <c r="AG34" s="252">
        <f t="shared" ca="1" si="19"/>
        <v>466.12717220096721</v>
      </c>
      <c r="AH34" s="252">
        <f t="shared" ca="1" si="20"/>
        <v>685.89187670516617</v>
      </c>
      <c r="AI34" s="252">
        <f t="shared" ca="1" si="21"/>
        <v>1315.353341602078</v>
      </c>
      <c r="AJ34" s="252">
        <f t="shared" ca="1" si="22"/>
        <v>4.1666666666666666E-3</v>
      </c>
      <c r="AK34" s="30"/>
      <c r="AL34" s="30"/>
      <c r="AM34" s="292">
        <f t="shared" ca="1" si="1"/>
        <v>91</v>
      </c>
      <c r="AN34" s="456">
        <f t="shared" ca="1" si="2"/>
        <v>95</v>
      </c>
      <c r="AO34" s="414">
        <f t="shared" ca="1" si="3"/>
        <v>109</v>
      </c>
      <c r="AP34" s="528">
        <f t="shared" ca="1" si="23"/>
        <v>127</v>
      </c>
      <c r="AQ34" s="566">
        <f t="shared" ca="1" si="24"/>
        <v>131</v>
      </c>
    </row>
    <row r="35" spans="2:43" ht="18.75" x14ac:dyDescent="0.3">
      <c r="AC35" s="292">
        <f t="shared" ca="1" si="0"/>
        <v>104</v>
      </c>
      <c r="AD35" s="566">
        <f t="shared" ca="1" si="16"/>
        <v>120</v>
      </c>
      <c r="AE35" s="522">
        <f t="shared" ca="1" si="17"/>
        <v>224</v>
      </c>
      <c r="AF35" s="252">
        <f t="shared" ca="1" si="18"/>
        <v>-14.882487738630022</v>
      </c>
      <c r="AG35" s="252">
        <f t="shared" ca="1" si="19"/>
        <v>483.01665351070272</v>
      </c>
      <c r="AH35" s="252">
        <f t="shared" ca="1" si="20"/>
        <v>574.49900913384545</v>
      </c>
      <c r="AI35" s="252">
        <f t="shared" ca="1" si="21"/>
        <v>1212.2087156155289</v>
      </c>
      <c r="AJ35" s="252">
        <f t="shared" ca="1" si="22"/>
        <v>4.464285714285714E-3</v>
      </c>
      <c r="AK35" s="30"/>
      <c r="AL35" s="30"/>
      <c r="AM35" s="292">
        <f t="shared" ca="1" si="1"/>
        <v>107</v>
      </c>
      <c r="AN35" s="456">
        <f t="shared" ca="1" si="2"/>
        <v>115</v>
      </c>
      <c r="AO35" s="414">
        <f t="shared" ca="1" si="3"/>
        <v>119</v>
      </c>
      <c r="AP35" s="528">
        <f t="shared" ca="1" si="23"/>
        <v>120</v>
      </c>
      <c r="AQ35" s="566">
        <f t="shared" ca="1" si="24"/>
        <v>135</v>
      </c>
    </row>
    <row r="36" spans="2:43" ht="18.75" x14ac:dyDescent="0.3">
      <c r="B36" s="583" t="s">
        <v>572</v>
      </c>
      <c r="C36" s="183"/>
      <c r="D36" s="609">
        <f xml:space="preserve"> 1 + ( ((671*0.0606) - 1) * ((671*((1/374)+(1/297)) -1)) / (6*671*1*3))</f>
        <v>1.0100268974072306</v>
      </c>
      <c r="E36" s="609"/>
      <c r="AC36" s="292">
        <f t="shared" ca="1" si="0"/>
        <v>107</v>
      </c>
      <c r="AD36" s="566">
        <f t="shared" ca="1" si="16"/>
        <v>135</v>
      </c>
      <c r="AE36" s="522">
        <f t="shared" ca="1" si="17"/>
        <v>242</v>
      </c>
      <c r="AF36" s="252">
        <f t="shared" ca="1" si="18"/>
        <v>-24.871716005487986</v>
      </c>
      <c r="AG36" s="252">
        <f t="shared" ca="1" si="19"/>
        <v>499.99268528742391</v>
      </c>
      <c r="AH36" s="252">
        <f t="shared" ca="1" si="20"/>
        <v>662.21209508918798</v>
      </c>
      <c r="AI36" s="252">
        <f t="shared" ca="1" si="21"/>
        <v>1328.3229297299181</v>
      </c>
      <c r="AJ36" s="252">
        <f t="shared" ca="1" si="22"/>
        <v>4.1322314049586778E-3</v>
      </c>
      <c r="AK36" s="30"/>
      <c r="AL36" s="30"/>
      <c r="AM36" s="292">
        <f t="shared" ca="1" si="1"/>
        <v>97</v>
      </c>
      <c r="AN36" s="456">
        <f t="shared" ca="1" si="2"/>
        <v>111</v>
      </c>
      <c r="AO36" s="414">
        <f t="shared" ca="1" si="3"/>
        <v>107</v>
      </c>
      <c r="AP36" s="528">
        <f t="shared" ca="1" si="23"/>
        <v>125</v>
      </c>
      <c r="AQ36" s="566">
        <f t="shared" ca="1" si="24"/>
        <v>132</v>
      </c>
    </row>
    <row r="37" spans="2:43" ht="18.75" x14ac:dyDescent="0.3">
      <c r="D37">
        <v>1.0100283728761037</v>
      </c>
      <c r="AC37" s="292">
        <f t="shared" ca="1" si="0"/>
        <v>107</v>
      </c>
      <c r="AD37" s="566">
        <f t="shared" ca="1" si="16"/>
        <v>120</v>
      </c>
      <c r="AE37" s="522">
        <f t="shared" ca="1" si="17"/>
        <v>227</v>
      </c>
      <c r="AF37" s="252">
        <f t="shared" ca="1" si="18"/>
        <v>-12.268931190254955</v>
      </c>
      <c r="AG37" s="252">
        <f t="shared" ca="1" si="19"/>
        <v>499.99268528742391</v>
      </c>
      <c r="AH37" s="252">
        <f t="shared" ca="1" si="20"/>
        <v>574.49900913384545</v>
      </c>
      <c r="AI37" s="252">
        <f t="shared" ca="1" si="21"/>
        <v>1231.4636539682785</v>
      </c>
      <c r="AJ37" s="252">
        <f t="shared" ca="1" si="22"/>
        <v>4.4052863436123352E-3</v>
      </c>
      <c r="AK37" s="30"/>
      <c r="AL37" s="30"/>
      <c r="AM37" s="292">
        <f t="shared" ca="1" si="1"/>
        <v>96</v>
      </c>
      <c r="AN37" s="456">
        <f t="shared" ca="1" si="2"/>
        <v>105</v>
      </c>
      <c r="AO37" s="414">
        <f t="shared" ca="1" si="3"/>
        <v>103</v>
      </c>
      <c r="AP37" s="528">
        <f t="shared" ca="1" si="23"/>
        <v>118</v>
      </c>
      <c r="AQ37" s="566">
        <f t="shared" ca="1" si="24"/>
        <v>125</v>
      </c>
    </row>
    <row r="38" spans="2:43" ht="18.75" x14ac:dyDescent="0.3">
      <c r="AC38" s="292">
        <f t="shared" ca="1" si="0"/>
        <v>106</v>
      </c>
      <c r="AD38" s="566">
        <f t="shared" ca="1" si="16"/>
        <v>132</v>
      </c>
      <c r="AE38" s="522">
        <f t="shared" ca="1" si="17"/>
        <v>238</v>
      </c>
      <c r="AF38" s="252">
        <f t="shared" ca="1" si="18"/>
        <v>-23.252459818276201</v>
      </c>
      <c r="AG38" s="252">
        <f t="shared" ca="1" si="19"/>
        <v>494.32454397587907</v>
      </c>
      <c r="AH38" s="252">
        <f t="shared" ca="1" si="20"/>
        <v>644.5298537814009</v>
      </c>
      <c r="AI38" s="252">
        <f t="shared" ca="1" si="21"/>
        <v>1302.4004203338111</v>
      </c>
      <c r="AJ38" s="252">
        <f t="shared" ca="1" si="22"/>
        <v>4.2016806722689074E-3</v>
      </c>
      <c r="AK38" s="30"/>
      <c r="AL38" s="30"/>
      <c r="AM38" s="292">
        <f t="shared" ca="1" si="1"/>
        <v>99</v>
      </c>
      <c r="AN38" s="456">
        <f t="shared" ca="1" si="2"/>
        <v>112</v>
      </c>
      <c r="AO38" s="414">
        <f t="shared" ca="1" si="3"/>
        <v>118</v>
      </c>
      <c r="AP38" s="528">
        <f t="shared" ca="1" si="23"/>
        <v>124</v>
      </c>
      <c r="AQ38" s="566">
        <f t="shared" ca="1" si="24"/>
        <v>126</v>
      </c>
    </row>
    <row r="39" spans="2:43" ht="18.75" x14ac:dyDescent="0.3">
      <c r="AC39" s="292">
        <f t="shared" ca="1" si="0"/>
        <v>95</v>
      </c>
      <c r="AD39" s="566">
        <f t="shared" ca="1" si="16"/>
        <v>138</v>
      </c>
      <c r="AE39" s="522">
        <f t="shared" ca="1" si="17"/>
        <v>233</v>
      </c>
      <c r="AF39" s="252">
        <f t="shared" ca="1" si="18"/>
        <v>-35.470795387883072</v>
      </c>
      <c r="AG39" s="252">
        <f t="shared" ca="1" si="19"/>
        <v>432.61830470205138</v>
      </c>
      <c r="AH39" s="252">
        <f t="shared" ca="1" si="20"/>
        <v>679.96100855169425</v>
      </c>
      <c r="AI39" s="252">
        <f t="shared" ca="1" si="21"/>
        <v>1270.091959680808</v>
      </c>
      <c r="AJ39" s="252">
        <f t="shared" ca="1" si="22"/>
        <v>4.2918454935622317E-3</v>
      </c>
      <c r="AK39" s="526"/>
      <c r="AL39" s="407"/>
      <c r="AM39" s="292">
        <f t="shared" ca="1" si="1"/>
        <v>97</v>
      </c>
      <c r="AN39" s="456">
        <f t="shared" ca="1" si="2"/>
        <v>99</v>
      </c>
      <c r="AO39" s="414">
        <f t="shared" ca="1" si="3"/>
        <v>101</v>
      </c>
      <c r="AP39" s="528">
        <f t="shared" ca="1" si="23"/>
        <v>111</v>
      </c>
      <c r="AQ39" s="566">
        <f t="shared" ca="1" si="24"/>
        <v>131</v>
      </c>
    </row>
    <row r="40" spans="2:43" ht="18.75" x14ac:dyDescent="0.3">
      <c r="AC40" s="292">
        <f t="shared" ca="1" si="0"/>
        <v>96</v>
      </c>
      <c r="AD40" s="566">
        <f t="shared" ca="1" si="16"/>
        <v>131</v>
      </c>
      <c r="AE40" s="522">
        <f t="shared" ca="1" si="17"/>
        <v>227</v>
      </c>
      <c r="AF40" s="252">
        <f t="shared" ca="1" si="18"/>
        <v>-29.841516646398269</v>
      </c>
      <c r="AG40" s="252">
        <f t="shared" ca="1" si="19"/>
        <v>438.17742638091227</v>
      </c>
      <c r="AH40" s="252">
        <f t="shared" ca="1" si="20"/>
        <v>638.65084933935077</v>
      </c>
      <c r="AI40" s="252">
        <f t="shared" ca="1" si="21"/>
        <v>1231.4636539682785</v>
      </c>
      <c r="AJ40" s="252">
        <f t="shared" ca="1" si="22"/>
        <v>4.4052863436123352E-3</v>
      </c>
      <c r="AK40" s="30"/>
      <c r="AL40" s="30"/>
      <c r="AM40" s="292">
        <f t="shared" ca="1" si="1"/>
        <v>108</v>
      </c>
      <c r="AN40" s="456">
        <f t="shared" ca="1" si="2"/>
        <v>98</v>
      </c>
      <c r="AO40" s="414">
        <f t="shared" ca="1" si="3"/>
        <v>101</v>
      </c>
      <c r="AP40" s="528">
        <f t="shared" ca="1" si="23"/>
        <v>125</v>
      </c>
      <c r="AQ40" s="566">
        <f t="shared" ca="1" si="24"/>
        <v>135</v>
      </c>
    </row>
    <row r="41" spans="2:43" ht="18.75" x14ac:dyDescent="0.3">
      <c r="AC41" s="292">
        <f t="shared" ca="1" si="0"/>
        <v>102</v>
      </c>
      <c r="AD41" s="566">
        <f t="shared" ca="1" si="16"/>
        <v>131</v>
      </c>
      <c r="AE41" s="522">
        <f t="shared" ca="1" si="17"/>
        <v>233</v>
      </c>
      <c r="AF41" s="252">
        <f t="shared" ca="1" si="18"/>
        <v>-25.522900011521813</v>
      </c>
      <c r="AG41" s="252">
        <f t="shared" ca="1" si="19"/>
        <v>471.7472269549956</v>
      </c>
      <c r="AH41" s="252">
        <f t="shared" ca="1" si="20"/>
        <v>638.65084933935077</v>
      </c>
      <c r="AI41" s="252">
        <f t="shared" ca="1" si="21"/>
        <v>1270.091959680808</v>
      </c>
      <c r="AJ41" s="252">
        <f t="shared" ca="1" si="22"/>
        <v>4.2918454935622317E-3</v>
      </c>
      <c r="AK41" s="30"/>
      <c r="AL41" s="30"/>
      <c r="AM41" s="292">
        <f t="shared" ca="1" si="1"/>
        <v>106</v>
      </c>
      <c r="AN41" s="456">
        <f t="shared" ca="1" si="2"/>
        <v>101</v>
      </c>
      <c r="AO41" s="414">
        <f t="shared" ca="1" si="3"/>
        <v>109</v>
      </c>
      <c r="AP41" s="528">
        <f t="shared" ca="1" si="23"/>
        <v>118</v>
      </c>
      <c r="AQ41" s="566">
        <f t="shared" ca="1" si="24"/>
        <v>132</v>
      </c>
    </row>
    <row r="42" spans="2:43" ht="18.75" x14ac:dyDescent="0.3">
      <c r="AC42" s="292">
        <f t="shared" ca="1" si="0"/>
        <v>101</v>
      </c>
      <c r="AD42" s="566">
        <f t="shared" ca="1" si="16"/>
        <v>139</v>
      </c>
      <c r="AE42" s="522">
        <f t="shared" ca="1" si="17"/>
        <v>240</v>
      </c>
      <c r="AF42" s="252">
        <f t="shared" ca="1" si="18"/>
        <v>-32.254695045232658</v>
      </c>
      <c r="AG42" s="252">
        <f t="shared" ca="1" si="19"/>
        <v>466.12717220096721</v>
      </c>
      <c r="AH42" s="252">
        <f t="shared" ca="1" si="20"/>
        <v>685.89187670516617</v>
      </c>
      <c r="AI42" s="252">
        <f t="shared" ca="1" si="21"/>
        <v>1315.353341602078</v>
      </c>
      <c r="AJ42" s="252">
        <f t="shared" ca="1" si="22"/>
        <v>4.1666666666666666E-3</v>
      </c>
      <c r="AK42" s="185"/>
      <c r="AM42" s="292">
        <f t="shared" ca="1" si="1"/>
        <v>101</v>
      </c>
      <c r="AN42" s="456">
        <f t="shared" ca="1" si="2"/>
        <v>111</v>
      </c>
      <c r="AO42" s="414">
        <f t="shared" ca="1" si="3"/>
        <v>111</v>
      </c>
      <c r="AP42" s="528">
        <f t="shared" ca="1" si="23"/>
        <v>116</v>
      </c>
      <c r="AQ42" s="566">
        <f t="shared" ca="1" si="24"/>
        <v>132</v>
      </c>
    </row>
    <row r="43" spans="2:43" ht="18.75" x14ac:dyDescent="0.3">
      <c r="AC43" s="292">
        <f t="shared" ca="1" si="0"/>
        <v>108</v>
      </c>
      <c r="AD43" s="566">
        <f t="shared" ca="1" si="16"/>
        <v>126</v>
      </c>
      <c r="AE43" s="522">
        <f t="shared" ca="1" si="17"/>
        <v>234</v>
      </c>
      <c r="AF43" s="252">
        <f t="shared" ca="1" si="18"/>
        <v>-16.648273421343902</v>
      </c>
      <c r="AG43" s="252">
        <f t="shared" ca="1" si="19"/>
        <v>505.67017252941577</v>
      </c>
      <c r="AH43" s="252">
        <f t="shared" ca="1" si="20"/>
        <v>609.37152027588627</v>
      </c>
      <c r="AI43" s="252">
        <f t="shared" ca="1" si="21"/>
        <v>1276.5451409937023</v>
      </c>
      <c r="AJ43" s="252">
        <f t="shared" ca="1" si="22"/>
        <v>4.2735042735042739E-3</v>
      </c>
      <c r="AK43" s="523"/>
      <c r="AM43" s="292">
        <f t="shared" ca="1" si="1"/>
        <v>107</v>
      </c>
      <c r="AN43" s="456">
        <f t="shared" ca="1" si="2"/>
        <v>101</v>
      </c>
      <c r="AO43" s="414">
        <f t="shared" ca="1" si="3"/>
        <v>117</v>
      </c>
      <c r="AP43" s="528">
        <f t="shared" ca="1" si="23"/>
        <v>125</v>
      </c>
      <c r="AQ43" s="566">
        <f t="shared" ca="1" si="24"/>
        <v>138</v>
      </c>
    </row>
    <row r="44" spans="2:43" ht="18.75" x14ac:dyDescent="0.3">
      <c r="AD44" s="25"/>
      <c r="AE44" s="25"/>
      <c r="AF44" s="25"/>
      <c r="AG44" s="24"/>
      <c r="AH44" s="26"/>
      <c r="AI44" s="30"/>
      <c r="AJ44" s="526"/>
      <c r="AK44" s="523"/>
      <c r="AM44" s="292"/>
      <c r="AN44" s="456"/>
      <c r="AO44" s="414"/>
      <c r="AP44" s="528"/>
      <c r="AQ44" s="567"/>
    </row>
    <row r="45" spans="2:43" ht="18.75" x14ac:dyDescent="0.3">
      <c r="AK45" s="525"/>
      <c r="AM45" s="561">
        <f ca="1">AVERAGE(AM4:AM43)</f>
        <v>101.625</v>
      </c>
      <c r="AN45" s="562">
        <f t="shared" ref="AN45:AQ45" ca="1" si="36">AVERAGE(AN4:AN43)</f>
        <v>104.625</v>
      </c>
      <c r="AO45" s="563">
        <f t="shared" ca="1" si="36"/>
        <v>108.825</v>
      </c>
      <c r="AP45" s="564">
        <f t="shared" ca="1" si="36"/>
        <v>119.9</v>
      </c>
      <c r="AQ45" s="568">
        <f t="shared" ca="1" si="36"/>
        <v>129.125</v>
      </c>
    </row>
    <row r="46" spans="2:43" ht="18.75" x14ac:dyDescent="0.3">
      <c r="AC46" s="30">
        <f ca="1">COUNT(AC4:AC45)</f>
        <v>40</v>
      </c>
      <c r="AD46" s="30">
        <f ca="1">COUNT(AD4:AD45)</f>
        <v>40</v>
      </c>
      <c r="AE46" s="30">
        <f ca="1">AC46 + AD46</f>
        <v>80</v>
      </c>
      <c r="AF46" s="30"/>
      <c r="AG46" s="30"/>
      <c r="AH46" s="30"/>
      <c r="AI46" s="30">
        <f ca="1">COUNT(AI4:AI45)</f>
        <v>40</v>
      </c>
      <c r="AJ46" s="30">
        <f ca="1">COUNT(AJ4:AJ45)</f>
        <v>40</v>
      </c>
    </row>
    <row r="47" spans="2:43" ht="18.75" x14ac:dyDescent="0.3">
      <c r="AC47" s="25">
        <f t="shared" ref="AC47:AJ47" ca="1" si="37">SUM(AC4:AC45)</f>
        <v>4035</v>
      </c>
      <c r="AD47" s="25">
        <f t="shared" ca="1" si="37"/>
        <v>5279</v>
      </c>
      <c r="AE47" s="571">
        <f t="shared" ca="1" si="37"/>
        <v>9314</v>
      </c>
      <c r="AF47" s="571">
        <f t="shared" ca="1" si="37"/>
        <v>-1070.9961694188225</v>
      </c>
      <c r="AG47" s="573">
        <f t="shared" ca="1" si="37"/>
        <v>18623.535073626525</v>
      </c>
      <c r="AH47" s="573">
        <f t="shared" ca="1" si="37"/>
        <v>25781.885969405954</v>
      </c>
      <c r="AI47" s="580">
        <f t="shared" ca="1" si="37"/>
        <v>50770.517637247598</v>
      </c>
      <c r="AJ47" s="565">
        <f t="shared" ca="1" si="37"/>
        <v>0.17198924571542848</v>
      </c>
      <c r="AK47" s="529"/>
    </row>
    <row r="48" spans="2:43" ht="18.75" x14ac:dyDescent="0.3">
      <c r="AC48" s="31">
        <f ca="1">LN(AC47)</f>
        <v>8.3027615807040487</v>
      </c>
      <c r="AD48" s="31">
        <f ca="1">LN(AD47)</f>
        <v>8.5714919648236165</v>
      </c>
      <c r="AE48" s="31">
        <f ca="1">LN(AE47)</f>
        <v>9.1392739235423228</v>
      </c>
      <c r="AF48" s="24"/>
      <c r="AG48" s="26"/>
      <c r="AH48" s="30"/>
      <c r="AI48" s="526" t="s">
        <v>23</v>
      </c>
      <c r="AJ48" s="529">
        <f ca="1">AJ46 - 1</f>
        <v>39</v>
      </c>
    </row>
    <row r="49" spans="29:36" ht="18.75" x14ac:dyDescent="0.3">
      <c r="AC49" s="581">
        <f ca="1">AC47*AC48</f>
        <v>33501.642978140837</v>
      </c>
      <c r="AD49" s="581">
        <f t="shared" ref="AD49" ca="1" si="38">AD47*AD48</f>
        <v>45248.906082303874</v>
      </c>
      <c r="AE49" s="582">
        <f t="shared" ref="AE49" ca="1" si="39">AE47*AE48</f>
        <v>85123.197323873188</v>
      </c>
      <c r="AF49" s="30"/>
      <c r="AG49" s="30"/>
      <c r="AH49" s="30"/>
      <c r="AI49" s="30"/>
      <c r="AJ49" s="30"/>
    </row>
    <row r="50" spans="29:36" ht="18.75" x14ac:dyDescent="0.3">
      <c r="AC50" s="30"/>
      <c r="AD50" s="30"/>
      <c r="AE50" s="30"/>
      <c r="AF50" s="30"/>
      <c r="AG50" s="30"/>
      <c r="AH50" s="30"/>
      <c r="AI50" s="30"/>
      <c r="AJ50" s="30"/>
    </row>
    <row r="51" spans="29:36" ht="18.75" x14ac:dyDescent="0.3">
      <c r="AC51" s="25">
        <v>1</v>
      </c>
      <c r="AD51" s="39">
        <f ca="1">SUM(AG4:AH45)</f>
        <v>44405.421043032504</v>
      </c>
      <c r="AE51" s="33" t="s">
        <v>162</v>
      </c>
      <c r="AF51" s="30"/>
      <c r="AG51" s="30"/>
      <c r="AH51" s="191" t="s">
        <v>567</v>
      </c>
      <c r="AI51" s="574">
        <f ca="1">AG47 + AH47</f>
        <v>44405.421043032475</v>
      </c>
      <c r="AJ51" s="110"/>
    </row>
    <row r="52" spans="29:36" ht="18.75" x14ac:dyDescent="0.3">
      <c r="AC52" s="25">
        <v>2</v>
      </c>
      <c r="AD52" s="39">
        <f ca="1">SUM(AI4:AI45)</f>
        <v>50770.517637247598</v>
      </c>
      <c r="AE52" s="33" t="s">
        <v>163</v>
      </c>
      <c r="AF52" s="30"/>
      <c r="AG52" s="30"/>
      <c r="AH52" s="191" t="s">
        <v>568</v>
      </c>
      <c r="AI52" s="575">
        <f ca="1">AI47</f>
        <v>50770.517637247598</v>
      </c>
      <c r="AJ52" s="35"/>
    </row>
    <row r="53" spans="29:36" ht="18.75" x14ac:dyDescent="0.3">
      <c r="AC53" s="25">
        <v>3</v>
      </c>
      <c r="AD53" s="39">
        <f ca="1">((AC47*LN(AC47)) + (AD47*LN(AD47)))</f>
        <v>78750.549060444711</v>
      </c>
      <c r="AE53" s="33" t="s">
        <v>164</v>
      </c>
      <c r="AF53" s="30"/>
      <c r="AG53" s="30"/>
      <c r="AH53" s="572" t="s">
        <v>570</v>
      </c>
      <c r="AI53" s="576">
        <f ca="1">AC49 + AD49</f>
        <v>78750.549060444711</v>
      </c>
      <c r="AJ53" s="525"/>
    </row>
    <row r="54" spans="29:36" ht="18.75" x14ac:dyDescent="0.3">
      <c r="AC54" s="25">
        <v>4</v>
      </c>
      <c r="AD54" s="39">
        <f ca="1">AE47*LN(AE47)</f>
        <v>85123.197323873188</v>
      </c>
      <c r="AE54" s="33" t="s">
        <v>163</v>
      </c>
      <c r="AF54" s="30"/>
      <c r="AG54" s="30"/>
      <c r="AH54" s="191" t="s">
        <v>569</v>
      </c>
      <c r="AI54" s="570">
        <f ca="1">AE49</f>
        <v>85123.197323873188</v>
      </c>
      <c r="AJ54" s="30"/>
    </row>
    <row r="55" spans="29:36" ht="18.75" x14ac:dyDescent="0.3">
      <c r="AC55" s="25">
        <v>5</v>
      </c>
      <c r="AD55" s="37">
        <f ca="1">2*(AD51 - AD52 - AD53 + AD54)</f>
        <v>15.103338426764822</v>
      </c>
      <c r="AE55" s="406" t="s">
        <v>297</v>
      </c>
      <c r="AF55" s="33" t="s">
        <v>29</v>
      </c>
      <c r="AG55" s="30"/>
      <c r="AH55" s="30"/>
      <c r="AI55" s="30"/>
      <c r="AJ55" s="30"/>
    </row>
    <row r="56" spans="29:36" ht="18.75" x14ac:dyDescent="0.3">
      <c r="AC56" s="25">
        <v>6</v>
      </c>
      <c r="AD56" s="161">
        <f ca="1">1 + ((AF56*AG56)/AH56)</f>
        <v>1.002256979255675</v>
      </c>
      <c r="AE56" s="33" t="s">
        <v>323</v>
      </c>
      <c r="AF56" s="111">
        <f ca="1">(AE47*AJ47) - 1</f>
        <v>1600.9078345935009</v>
      </c>
      <c r="AG56" s="31">
        <f ca="1">(AE47*(1/AC47 + 1/AD47)) - 1</f>
        <v>3.0726516629801797</v>
      </c>
      <c r="AH56" s="145">
        <f ca="1" xml:space="preserve"> 6*AE47*(2-1)*(AJ46 - 1)</f>
        <v>2179476</v>
      </c>
      <c r="AI56" s="178" t="s">
        <v>536</v>
      </c>
      <c r="AJ56" s="30"/>
    </row>
    <row r="57" spans="29:36" ht="18.75" x14ac:dyDescent="0.3">
      <c r="AC57" s="23"/>
      <c r="AD57" s="37">
        <f ca="1">AD55/AD56</f>
        <v>15.069327267724589</v>
      </c>
      <c r="AE57" s="590" t="s">
        <v>298</v>
      </c>
      <c r="AF57" s="590"/>
    </row>
    <row r="59" spans="29:36" ht="18.75" x14ac:dyDescent="0.3">
      <c r="AC59" s="25" t="s">
        <v>299</v>
      </c>
      <c r="AD59" s="30"/>
      <c r="AE59" s="30"/>
      <c r="AF59" s="30"/>
      <c r="AG59" s="30"/>
      <c r="AH59" s="30"/>
      <c r="AI59" s="30"/>
      <c r="AJ59" s="30"/>
    </row>
    <row r="60" spans="29:36" ht="18.75" x14ac:dyDescent="0.3">
      <c r="AC60" s="30"/>
      <c r="AD60" s="30" t="s">
        <v>582</v>
      </c>
      <c r="AE60" s="30"/>
      <c r="AF60" s="30"/>
      <c r="AG60" s="30"/>
      <c r="AH60" s="30"/>
      <c r="AI60" s="30"/>
      <c r="AJ60" s="30"/>
    </row>
    <row r="61" spans="29:36" ht="18.75" x14ac:dyDescent="0.3">
      <c r="AC61" s="30"/>
      <c r="AD61" s="30"/>
      <c r="AE61" s="30" t="s">
        <v>368</v>
      </c>
      <c r="AF61" s="30"/>
      <c r="AG61" s="30"/>
      <c r="AH61" s="30"/>
      <c r="AI61" s="30"/>
      <c r="AJ61" s="30"/>
    </row>
    <row r="62" spans="29:36" ht="18.75" x14ac:dyDescent="0.3">
      <c r="AC62" s="30"/>
      <c r="AD62" s="30"/>
      <c r="AE62" s="30" t="s">
        <v>339</v>
      </c>
      <c r="AF62" s="30"/>
      <c r="AG62" s="30"/>
      <c r="AH62" s="30"/>
      <c r="AI62" s="30"/>
      <c r="AJ62" s="30"/>
    </row>
    <row r="63" spans="29:36" ht="18.75" x14ac:dyDescent="0.3">
      <c r="AC63" s="30"/>
      <c r="AD63" s="30" t="s">
        <v>300</v>
      </c>
      <c r="AE63" s="30"/>
      <c r="AF63" s="30"/>
      <c r="AG63" s="30"/>
      <c r="AH63" s="30"/>
      <c r="AI63" s="30"/>
      <c r="AJ63" s="30"/>
    </row>
    <row r="64" spans="29:36" ht="18.75" x14ac:dyDescent="0.3">
      <c r="AC64" s="30"/>
      <c r="AD64" s="30" t="s">
        <v>301</v>
      </c>
      <c r="AE64" s="30"/>
      <c r="AF64" s="30"/>
      <c r="AG64" s="30"/>
      <c r="AH64" s="30"/>
      <c r="AI64" s="30"/>
      <c r="AJ64" s="30"/>
    </row>
    <row r="65" spans="29:36" ht="18.75" x14ac:dyDescent="0.3">
      <c r="AC65" s="30"/>
      <c r="AD65" s="30"/>
      <c r="AE65" s="30" t="s">
        <v>322</v>
      </c>
      <c r="AF65" s="30"/>
      <c r="AG65" s="30"/>
      <c r="AH65" s="30"/>
      <c r="AI65" s="30"/>
      <c r="AJ65" s="30"/>
    </row>
    <row r="66" spans="29:36" ht="18.75" x14ac:dyDescent="0.3">
      <c r="AC66" s="30"/>
      <c r="AD66" s="30"/>
      <c r="AE66" s="30" t="s">
        <v>366</v>
      </c>
      <c r="AF66" s="30"/>
      <c r="AG66" s="30"/>
      <c r="AH66" s="30"/>
      <c r="AI66" s="30"/>
      <c r="AJ66" s="30"/>
    </row>
  </sheetData>
  <mergeCells count="7">
    <mergeCell ref="D36:E36"/>
    <mergeCell ref="AC2:AL2"/>
    <mergeCell ref="AE57:AF57"/>
    <mergeCell ref="B2:K2"/>
    <mergeCell ref="D25:E25"/>
    <mergeCell ref="O2:X2"/>
    <mergeCell ref="Q25:R2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0177-EA23-4C22-B918-1D4F66064C42}">
  <sheetPr>
    <tabColor rgb="FFFFC000"/>
  </sheetPr>
  <dimension ref="B1:AB65"/>
  <sheetViews>
    <sheetView tabSelected="1" topLeftCell="B1"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2.7109375" customWidth="1"/>
    <col min="2" max="3" width="12.7109375" customWidth="1"/>
    <col min="4" max="4" width="10.140625" customWidth="1"/>
    <col min="5" max="5" width="11.140625" customWidth="1"/>
    <col min="6" max="8" width="11.140625" bestFit="1" customWidth="1"/>
    <col min="9" max="9" width="8.85546875" bestFit="1" customWidth="1"/>
  </cols>
  <sheetData>
    <row r="1" spans="2:28" s="30" customFormat="1" ht="18.75" x14ac:dyDescent="0.3">
      <c r="B1" s="259" t="s">
        <v>551</v>
      </c>
      <c r="C1" s="259"/>
      <c r="D1" s="259"/>
      <c r="E1" s="259"/>
      <c r="F1" s="259"/>
      <c r="G1" s="259"/>
      <c r="H1" s="259"/>
      <c r="I1" s="259"/>
      <c r="J1" s="259"/>
      <c r="K1" s="405"/>
      <c r="L1" s="405"/>
      <c r="M1" s="405"/>
      <c r="N1" s="258"/>
      <c r="O1" s="258"/>
      <c r="R1" s="25" t="s">
        <v>583</v>
      </c>
    </row>
    <row r="2" spans="2:28" s="3" customFormat="1" ht="21.75" thickBot="1" x14ac:dyDescent="0.4">
      <c r="B2" s="584" t="s">
        <v>562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560"/>
      <c r="R2" s="145">
        <v>24.450284523288392</v>
      </c>
      <c r="S2" s="45"/>
      <c r="T2" s="45"/>
      <c r="U2" s="45"/>
      <c r="V2" s="45"/>
      <c r="W2" s="45"/>
    </row>
    <row r="3" spans="2:28" s="30" customFormat="1" ht="19.5" thickBot="1" x14ac:dyDescent="0.35">
      <c r="B3" s="5" t="s">
        <v>30</v>
      </c>
      <c r="C3" s="40" t="s">
        <v>31</v>
      </c>
      <c r="D3" s="164" t="s">
        <v>27</v>
      </c>
      <c r="E3" s="165" t="s">
        <v>21</v>
      </c>
      <c r="F3" s="165" t="s">
        <v>59</v>
      </c>
      <c r="G3" s="165" t="s">
        <v>60</v>
      </c>
      <c r="H3" s="166" t="s">
        <v>26</v>
      </c>
      <c r="I3" s="167" t="s">
        <v>28</v>
      </c>
      <c r="L3" s="557" t="s">
        <v>396</v>
      </c>
      <c r="M3" s="558" t="s">
        <v>0</v>
      </c>
      <c r="N3" s="559" t="s">
        <v>1</v>
      </c>
      <c r="O3" s="556" t="s">
        <v>321</v>
      </c>
      <c r="P3" s="24" t="s">
        <v>565</v>
      </c>
      <c r="R3" s="24" t="s">
        <v>556</v>
      </c>
      <c r="S3" s="24" t="s">
        <v>557</v>
      </c>
      <c r="T3" s="24" t="s">
        <v>558</v>
      </c>
      <c r="U3" s="24" t="s">
        <v>554</v>
      </c>
      <c r="V3" s="24" t="s">
        <v>555</v>
      </c>
      <c r="W3" s="24" t="s">
        <v>559</v>
      </c>
      <c r="Y3" s="24" t="s">
        <v>396</v>
      </c>
      <c r="Z3" s="24" t="s">
        <v>0</v>
      </c>
      <c r="AA3" s="24" t="s">
        <v>573</v>
      </c>
      <c r="AB3" s="24" t="s">
        <v>574</v>
      </c>
    </row>
    <row r="4" spans="2:28" s="30" customFormat="1" ht="18.75" x14ac:dyDescent="0.3">
      <c r="B4" s="292">
        <v>5</v>
      </c>
      <c r="C4" s="566">
        <v>1</v>
      </c>
      <c r="D4" s="215">
        <f>IF(C4&gt;0,B4+C4," ")</f>
        <v>6</v>
      </c>
      <c r="E4" s="252">
        <f>IF(C4&gt;0,(B4 * LN(B4/C4))," ")</f>
        <v>8.0471895621705016</v>
      </c>
      <c r="F4" s="252">
        <f>IF(C4&gt;0,B4*LN(B4)," ")</f>
        <v>8.0471895621705016</v>
      </c>
      <c r="G4" s="252">
        <f>IF(C4&gt;0,C4*LN(C4)," ")</f>
        <v>0</v>
      </c>
      <c r="H4" s="252">
        <f>IF(C4&gt;0,D4*LN(D4)," ")</f>
        <v>10.750556815368331</v>
      </c>
      <c r="I4" s="252">
        <f>IF(C4&gt;0,1/D4," ")</f>
        <v>0.16666666666666666</v>
      </c>
      <c r="J4" s="27"/>
      <c r="L4" s="292">
        <f ca="1">RANDBETWEEN(95,105)</f>
        <v>98</v>
      </c>
      <c r="M4" s="456">
        <f ca="1">RANDBETWEEN(100,110)</f>
        <v>103</v>
      </c>
      <c r="N4" s="414">
        <f ca="1">RANDBETWEEN(105,115)</f>
        <v>115</v>
      </c>
      <c r="O4" s="528">
        <f ca="1">RANDBETWEEN(110,120)</f>
        <v>118</v>
      </c>
      <c r="P4" s="566">
        <f ca="1">RANDBETWEEN(115,125)</f>
        <v>116</v>
      </c>
      <c r="Q4" s="528"/>
      <c r="R4" s="292">
        <v>98</v>
      </c>
      <c r="S4" s="456">
        <v>100</v>
      </c>
      <c r="T4" s="414">
        <v>111</v>
      </c>
      <c r="U4" s="528">
        <v>113</v>
      </c>
      <c r="V4" s="566">
        <v>119</v>
      </c>
      <c r="X4" s="25">
        <v>95</v>
      </c>
      <c r="Y4" s="292">
        <f>COUNTIF(R$4:R$43,X4)</f>
        <v>4</v>
      </c>
      <c r="Z4" s="456">
        <f>COUNTIF(S$4:S$43,X4)</f>
        <v>0</v>
      </c>
      <c r="AA4" s="30">
        <f>Y4 + 1</f>
        <v>5</v>
      </c>
      <c r="AB4" s="30">
        <f>Z4 + 1</f>
        <v>1</v>
      </c>
    </row>
    <row r="5" spans="2:28" s="30" customFormat="1" ht="18.75" x14ac:dyDescent="0.3">
      <c r="B5" s="292">
        <v>5</v>
      </c>
      <c r="C5" s="566">
        <v>1</v>
      </c>
      <c r="D5" s="215">
        <f t="shared" ref="D5:D43" si="0">IF(C5&gt;0,B5+C5," ")</f>
        <v>6</v>
      </c>
      <c r="E5" s="252">
        <f t="shared" ref="E5:E43" si="1">IF(C5&gt;0,(B5 * LN(B5/C5))," ")</f>
        <v>8.0471895621705016</v>
      </c>
      <c r="F5" s="252">
        <f t="shared" ref="F5:F43" si="2">IF(C5&gt;0,B5*LN(B5)," ")</f>
        <v>8.0471895621705016</v>
      </c>
      <c r="G5" s="252">
        <f t="shared" ref="G5:G43" si="3">IF(C5&gt;0,C5*LN(C5)," ")</f>
        <v>0</v>
      </c>
      <c r="H5" s="252">
        <f t="shared" ref="H5:H43" si="4">IF(C5&gt;0,D5*LN(D5)," ")</f>
        <v>10.750556815368331</v>
      </c>
      <c r="I5" s="252">
        <f t="shared" ref="I5:I43" si="5">IF(C5&gt;0,1/D5," ")</f>
        <v>0.16666666666666666</v>
      </c>
      <c r="J5" s="27"/>
      <c r="L5" s="292">
        <f t="shared" ref="L5:L43" ca="1" si="6">RANDBETWEEN(95,105)</f>
        <v>101</v>
      </c>
      <c r="M5" s="456">
        <f t="shared" ref="M5:M43" ca="1" si="7">RANDBETWEEN(100,110)</f>
        <v>104</v>
      </c>
      <c r="N5" s="414">
        <f t="shared" ref="N5:N43" ca="1" si="8">RANDBETWEEN(105,115)</f>
        <v>112</v>
      </c>
      <c r="O5" s="528">
        <f t="shared" ref="O5:O43" ca="1" si="9">RANDBETWEEN(110,120)</f>
        <v>114</v>
      </c>
      <c r="P5" s="566">
        <f t="shared" ref="P5:P43" ca="1" si="10">RANDBETWEEN(115,125)</f>
        <v>120</v>
      </c>
      <c r="Q5" s="528"/>
      <c r="R5" s="292">
        <v>104</v>
      </c>
      <c r="S5" s="456">
        <v>100</v>
      </c>
      <c r="T5" s="414">
        <v>112</v>
      </c>
      <c r="U5" s="528">
        <v>120</v>
      </c>
      <c r="V5" s="566">
        <v>125</v>
      </c>
      <c r="X5" s="25">
        <v>96</v>
      </c>
      <c r="Y5" s="292">
        <f t="shared" ref="Y5:Z19" si="11">COUNTIF(R$4:R$43,X5)</f>
        <v>4</v>
      </c>
      <c r="Z5" s="456">
        <f t="shared" ref="Z5:Z19" si="12">COUNTIF(S$4:S$43,X5)</f>
        <v>0</v>
      </c>
      <c r="AA5" s="30">
        <f t="shared" ref="AA5:AA19" si="13">Y5 + 1</f>
        <v>5</v>
      </c>
      <c r="AB5" s="30">
        <f t="shared" ref="AB5:AB19" si="14">Z5 + 1</f>
        <v>1</v>
      </c>
    </row>
    <row r="6" spans="2:28" s="30" customFormat="1" ht="18.75" x14ac:dyDescent="0.3">
      <c r="B6" s="292">
        <v>4</v>
      </c>
      <c r="C6" s="566">
        <v>1</v>
      </c>
      <c r="D6" s="215">
        <f t="shared" si="0"/>
        <v>5</v>
      </c>
      <c r="E6" s="252">
        <f t="shared" si="1"/>
        <v>5.5451774444795623</v>
      </c>
      <c r="F6" s="252">
        <f t="shared" si="2"/>
        <v>5.5451774444795623</v>
      </c>
      <c r="G6" s="252">
        <f t="shared" si="3"/>
        <v>0</v>
      </c>
      <c r="H6" s="252">
        <f t="shared" si="4"/>
        <v>8.0471895621705016</v>
      </c>
      <c r="I6" s="252">
        <f t="shared" si="5"/>
        <v>0.2</v>
      </c>
      <c r="J6" s="27"/>
      <c r="L6" s="292">
        <f t="shared" ca="1" si="6"/>
        <v>100</v>
      </c>
      <c r="M6" s="456">
        <f t="shared" ca="1" si="7"/>
        <v>110</v>
      </c>
      <c r="N6" s="414">
        <f t="shared" ca="1" si="8"/>
        <v>108</v>
      </c>
      <c r="O6" s="528">
        <f t="shared" ca="1" si="9"/>
        <v>114</v>
      </c>
      <c r="P6" s="566">
        <f t="shared" ca="1" si="10"/>
        <v>120</v>
      </c>
      <c r="Q6" s="528"/>
      <c r="R6" s="292">
        <v>104</v>
      </c>
      <c r="S6" s="456">
        <v>100</v>
      </c>
      <c r="T6" s="414">
        <v>111</v>
      </c>
      <c r="U6" s="528">
        <v>112</v>
      </c>
      <c r="V6" s="566">
        <v>123</v>
      </c>
      <c r="X6" s="25">
        <v>97</v>
      </c>
      <c r="Y6" s="292">
        <f t="shared" si="11"/>
        <v>3</v>
      </c>
      <c r="Z6" s="456">
        <f t="shared" si="12"/>
        <v>0</v>
      </c>
      <c r="AA6" s="30">
        <f t="shared" si="13"/>
        <v>4</v>
      </c>
      <c r="AB6" s="30">
        <f t="shared" si="14"/>
        <v>1</v>
      </c>
    </row>
    <row r="7" spans="2:28" s="30" customFormat="1" ht="18.75" x14ac:dyDescent="0.3">
      <c r="B7" s="292">
        <v>5</v>
      </c>
      <c r="C7" s="566">
        <v>1</v>
      </c>
      <c r="D7" s="215">
        <f t="shared" si="0"/>
        <v>6</v>
      </c>
      <c r="E7" s="252">
        <f t="shared" si="1"/>
        <v>8.0471895621705016</v>
      </c>
      <c r="F7" s="252">
        <f t="shared" si="2"/>
        <v>8.0471895621705016</v>
      </c>
      <c r="G7" s="252">
        <f t="shared" si="3"/>
        <v>0</v>
      </c>
      <c r="H7" s="252">
        <f t="shared" si="4"/>
        <v>10.750556815368331</v>
      </c>
      <c r="I7" s="252">
        <f t="shared" si="5"/>
        <v>0.16666666666666666</v>
      </c>
      <c r="L7" s="292">
        <f t="shared" ca="1" si="6"/>
        <v>99</v>
      </c>
      <c r="M7" s="456">
        <f t="shared" ca="1" si="7"/>
        <v>106</v>
      </c>
      <c r="N7" s="414">
        <f t="shared" ca="1" si="8"/>
        <v>112</v>
      </c>
      <c r="O7" s="528">
        <f t="shared" ca="1" si="9"/>
        <v>117</v>
      </c>
      <c r="P7" s="566">
        <f t="shared" ca="1" si="10"/>
        <v>115</v>
      </c>
      <c r="Q7" s="528"/>
      <c r="R7" s="292">
        <v>105</v>
      </c>
      <c r="S7" s="456">
        <v>100</v>
      </c>
      <c r="T7" s="414">
        <v>110</v>
      </c>
      <c r="U7" s="528">
        <v>114</v>
      </c>
      <c r="V7" s="566">
        <v>125</v>
      </c>
      <c r="X7" s="25">
        <v>98</v>
      </c>
      <c r="Y7" s="292">
        <f t="shared" si="11"/>
        <v>4</v>
      </c>
      <c r="Z7" s="456">
        <f t="shared" si="12"/>
        <v>0</v>
      </c>
      <c r="AA7" s="30">
        <f t="shared" si="13"/>
        <v>5</v>
      </c>
      <c r="AB7" s="30">
        <f t="shared" si="14"/>
        <v>1</v>
      </c>
    </row>
    <row r="8" spans="2:28" s="30" customFormat="1" ht="18.75" x14ac:dyDescent="0.3">
      <c r="B8" s="292">
        <v>5</v>
      </c>
      <c r="C8" s="566">
        <v>1</v>
      </c>
      <c r="D8" s="522">
        <f t="shared" si="0"/>
        <v>6</v>
      </c>
      <c r="E8" s="252">
        <f t="shared" si="1"/>
        <v>8.0471895621705016</v>
      </c>
      <c r="F8" s="252">
        <f t="shared" si="2"/>
        <v>8.0471895621705016</v>
      </c>
      <c r="G8" s="252">
        <f t="shared" si="3"/>
        <v>0</v>
      </c>
      <c r="H8" s="252">
        <f t="shared" si="4"/>
        <v>10.750556815368331</v>
      </c>
      <c r="I8" s="252">
        <f t="shared" si="5"/>
        <v>0.16666666666666666</v>
      </c>
      <c r="L8" s="292">
        <f t="shared" ca="1" si="6"/>
        <v>99</v>
      </c>
      <c r="M8" s="456">
        <f t="shared" ca="1" si="7"/>
        <v>108</v>
      </c>
      <c r="N8" s="414">
        <f t="shared" ca="1" si="8"/>
        <v>113</v>
      </c>
      <c r="O8" s="528">
        <f t="shared" ca="1" si="9"/>
        <v>117</v>
      </c>
      <c r="P8" s="566">
        <f t="shared" ca="1" si="10"/>
        <v>116</v>
      </c>
      <c r="Q8" s="528"/>
      <c r="R8" s="292">
        <v>96</v>
      </c>
      <c r="S8" s="456">
        <v>101</v>
      </c>
      <c r="T8" s="414">
        <v>106</v>
      </c>
      <c r="U8" s="528">
        <v>114</v>
      </c>
      <c r="V8" s="566">
        <v>125</v>
      </c>
      <c r="X8" s="25">
        <v>99</v>
      </c>
      <c r="Y8" s="292">
        <f t="shared" si="11"/>
        <v>4</v>
      </c>
      <c r="Z8" s="456">
        <f t="shared" si="12"/>
        <v>0</v>
      </c>
      <c r="AA8" s="30">
        <f t="shared" si="13"/>
        <v>5</v>
      </c>
      <c r="AB8" s="30">
        <f t="shared" si="14"/>
        <v>1</v>
      </c>
    </row>
    <row r="9" spans="2:28" s="30" customFormat="1" ht="18.75" x14ac:dyDescent="0.3">
      <c r="B9" s="292">
        <v>2</v>
      </c>
      <c r="C9" s="566">
        <v>5</v>
      </c>
      <c r="D9" s="522">
        <f t="shared" si="0"/>
        <v>7</v>
      </c>
      <c r="E9" s="252">
        <f t="shared" si="1"/>
        <v>-1.83258146374831</v>
      </c>
      <c r="F9" s="252">
        <f t="shared" si="2"/>
        <v>1.3862943611198906</v>
      </c>
      <c r="G9" s="252">
        <f t="shared" si="3"/>
        <v>8.0471895621705016</v>
      </c>
      <c r="H9" s="252">
        <f t="shared" si="4"/>
        <v>13.621371043387192</v>
      </c>
      <c r="I9" s="252">
        <f t="shared" si="5"/>
        <v>0.14285714285714285</v>
      </c>
      <c r="L9" s="292">
        <f t="shared" ca="1" si="6"/>
        <v>96</v>
      </c>
      <c r="M9" s="456">
        <f t="shared" ca="1" si="7"/>
        <v>100</v>
      </c>
      <c r="N9" s="414">
        <f t="shared" ca="1" si="8"/>
        <v>115</v>
      </c>
      <c r="O9" s="528">
        <f t="shared" ca="1" si="9"/>
        <v>111</v>
      </c>
      <c r="P9" s="566">
        <f t="shared" ca="1" si="10"/>
        <v>125</v>
      </c>
      <c r="Q9" s="528"/>
      <c r="R9" s="292">
        <v>104</v>
      </c>
      <c r="S9" s="456">
        <v>101</v>
      </c>
      <c r="T9" s="414">
        <v>110</v>
      </c>
      <c r="U9" s="528">
        <v>120</v>
      </c>
      <c r="V9" s="566">
        <v>123</v>
      </c>
      <c r="X9" s="25">
        <v>100</v>
      </c>
      <c r="Y9" s="292">
        <f t="shared" si="11"/>
        <v>1</v>
      </c>
      <c r="Z9" s="456">
        <f t="shared" si="12"/>
        <v>4</v>
      </c>
      <c r="AA9" s="30">
        <f t="shared" si="13"/>
        <v>2</v>
      </c>
      <c r="AB9" s="30">
        <f t="shared" si="14"/>
        <v>5</v>
      </c>
    </row>
    <row r="10" spans="2:28" s="30" customFormat="1" ht="18.75" x14ac:dyDescent="0.3">
      <c r="B10" s="292">
        <v>2</v>
      </c>
      <c r="C10" s="566">
        <v>3</v>
      </c>
      <c r="D10" s="522">
        <f t="shared" si="0"/>
        <v>5</v>
      </c>
      <c r="E10" s="252">
        <f t="shared" si="1"/>
        <v>-0.81093021621632888</v>
      </c>
      <c r="F10" s="252">
        <f t="shared" si="2"/>
        <v>1.3862943611198906</v>
      </c>
      <c r="G10" s="252">
        <f t="shared" si="3"/>
        <v>3.2958368660043291</v>
      </c>
      <c r="H10" s="252">
        <f t="shared" si="4"/>
        <v>8.0471895621705016</v>
      </c>
      <c r="I10" s="252">
        <f t="shared" si="5"/>
        <v>0.2</v>
      </c>
      <c r="L10" s="292">
        <f t="shared" ca="1" si="6"/>
        <v>95</v>
      </c>
      <c r="M10" s="456">
        <f t="shared" ca="1" si="7"/>
        <v>109</v>
      </c>
      <c r="N10" s="414">
        <f t="shared" ca="1" si="8"/>
        <v>108</v>
      </c>
      <c r="O10" s="528">
        <f t="shared" ca="1" si="9"/>
        <v>110</v>
      </c>
      <c r="P10" s="566">
        <f t="shared" ca="1" si="10"/>
        <v>117</v>
      </c>
      <c r="Q10" s="528"/>
      <c r="R10" s="292">
        <v>102</v>
      </c>
      <c r="S10" s="456">
        <v>102</v>
      </c>
      <c r="T10" s="414">
        <v>110</v>
      </c>
      <c r="U10" s="528">
        <v>117</v>
      </c>
      <c r="V10" s="566">
        <v>124</v>
      </c>
      <c r="X10" s="25">
        <v>101</v>
      </c>
      <c r="Y10" s="292">
        <f t="shared" si="11"/>
        <v>1</v>
      </c>
      <c r="Z10" s="456">
        <f t="shared" si="12"/>
        <v>2</v>
      </c>
      <c r="AA10" s="30">
        <f t="shared" si="13"/>
        <v>2</v>
      </c>
      <c r="AB10" s="30">
        <f t="shared" si="14"/>
        <v>3</v>
      </c>
    </row>
    <row r="11" spans="2:28" s="30" customFormat="1" ht="18.75" x14ac:dyDescent="0.3">
      <c r="B11" s="292">
        <v>4</v>
      </c>
      <c r="C11" s="566">
        <v>2</v>
      </c>
      <c r="D11" s="522">
        <f t="shared" si="0"/>
        <v>6</v>
      </c>
      <c r="E11" s="252">
        <f t="shared" si="1"/>
        <v>2.7725887222397811</v>
      </c>
      <c r="F11" s="252">
        <f t="shared" si="2"/>
        <v>5.5451774444795623</v>
      </c>
      <c r="G11" s="252">
        <f t="shared" si="3"/>
        <v>1.3862943611198906</v>
      </c>
      <c r="H11" s="252">
        <f t="shared" si="4"/>
        <v>10.750556815368331</v>
      </c>
      <c r="I11" s="252">
        <f t="shared" si="5"/>
        <v>0.16666666666666666</v>
      </c>
      <c r="L11" s="292">
        <f t="shared" ca="1" si="6"/>
        <v>95</v>
      </c>
      <c r="M11" s="456">
        <f t="shared" ca="1" si="7"/>
        <v>109</v>
      </c>
      <c r="N11" s="414">
        <f t="shared" ca="1" si="8"/>
        <v>111</v>
      </c>
      <c r="O11" s="528">
        <f t="shared" ca="1" si="9"/>
        <v>116</v>
      </c>
      <c r="P11" s="566">
        <f t="shared" ca="1" si="10"/>
        <v>118</v>
      </c>
      <c r="Q11" s="528"/>
      <c r="R11" s="292">
        <v>95</v>
      </c>
      <c r="S11" s="456">
        <v>103</v>
      </c>
      <c r="T11" s="414">
        <v>113</v>
      </c>
      <c r="U11" s="528">
        <v>112</v>
      </c>
      <c r="V11" s="566">
        <v>120</v>
      </c>
      <c r="X11" s="25">
        <v>102</v>
      </c>
      <c r="Y11" s="292">
        <f t="shared" si="11"/>
        <v>3</v>
      </c>
      <c r="Z11" s="456">
        <f t="shared" si="12"/>
        <v>1</v>
      </c>
      <c r="AA11" s="30">
        <f t="shared" si="13"/>
        <v>4</v>
      </c>
      <c r="AB11" s="30">
        <f t="shared" si="14"/>
        <v>2</v>
      </c>
    </row>
    <row r="12" spans="2:28" s="30" customFormat="1" ht="18.75" x14ac:dyDescent="0.3">
      <c r="B12" s="292">
        <v>6</v>
      </c>
      <c r="C12" s="566">
        <v>5</v>
      </c>
      <c r="D12" s="522">
        <f t="shared" si="0"/>
        <v>11</v>
      </c>
      <c r="E12" s="252">
        <f t="shared" si="1"/>
        <v>1.0939293407637276</v>
      </c>
      <c r="F12" s="252">
        <f t="shared" si="2"/>
        <v>10.750556815368331</v>
      </c>
      <c r="G12" s="252">
        <f t="shared" si="3"/>
        <v>8.0471895621705016</v>
      </c>
      <c r="H12" s="252">
        <f t="shared" si="4"/>
        <v>26.376848000782076</v>
      </c>
      <c r="I12" s="252">
        <f t="shared" si="5"/>
        <v>9.0909090909090912E-2</v>
      </c>
      <c r="L12" s="292">
        <f t="shared" ca="1" si="6"/>
        <v>96</v>
      </c>
      <c r="M12" s="456">
        <f t="shared" ca="1" si="7"/>
        <v>106</v>
      </c>
      <c r="N12" s="414">
        <f t="shared" ca="1" si="8"/>
        <v>112</v>
      </c>
      <c r="O12" s="528">
        <f t="shared" ca="1" si="9"/>
        <v>113</v>
      </c>
      <c r="P12" s="566">
        <f t="shared" ca="1" si="10"/>
        <v>120</v>
      </c>
      <c r="Q12" s="528"/>
      <c r="R12" s="292">
        <v>99</v>
      </c>
      <c r="S12" s="456">
        <v>103</v>
      </c>
      <c r="T12" s="414">
        <v>106</v>
      </c>
      <c r="U12" s="528">
        <v>118</v>
      </c>
      <c r="V12" s="566">
        <v>115</v>
      </c>
      <c r="X12" s="25">
        <v>103</v>
      </c>
      <c r="Y12" s="292">
        <f t="shared" si="11"/>
        <v>5</v>
      </c>
      <c r="Z12" s="456">
        <f t="shared" si="12"/>
        <v>4</v>
      </c>
      <c r="AA12" s="30">
        <f t="shared" si="13"/>
        <v>6</v>
      </c>
      <c r="AB12" s="30">
        <f t="shared" si="14"/>
        <v>5</v>
      </c>
    </row>
    <row r="13" spans="2:28" s="30" customFormat="1" ht="18.75" x14ac:dyDescent="0.3">
      <c r="B13" s="292">
        <v>8</v>
      </c>
      <c r="C13" s="566">
        <v>9</v>
      </c>
      <c r="D13" s="522">
        <f t="shared" si="0"/>
        <v>17</v>
      </c>
      <c r="E13" s="252">
        <f t="shared" si="1"/>
        <v>-0.94226428525106809</v>
      </c>
      <c r="F13" s="252">
        <f t="shared" si="2"/>
        <v>16.635532333438686</v>
      </c>
      <c r="G13" s="252">
        <f t="shared" si="3"/>
        <v>19.775021196025975</v>
      </c>
      <c r="H13" s="252">
        <f t="shared" si="4"/>
        <v>48.164626848955677</v>
      </c>
      <c r="I13" s="252">
        <f t="shared" si="5"/>
        <v>5.8823529411764705E-2</v>
      </c>
      <c r="L13" s="292">
        <f t="shared" ca="1" si="6"/>
        <v>103</v>
      </c>
      <c r="M13" s="456">
        <f t="shared" ca="1" si="7"/>
        <v>102</v>
      </c>
      <c r="N13" s="414">
        <f t="shared" ca="1" si="8"/>
        <v>106</v>
      </c>
      <c r="O13" s="528">
        <f t="shared" ca="1" si="9"/>
        <v>111</v>
      </c>
      <c r="P13" s="566">
        <f t="shared" ca="1" si="10"/>
        <v>116</v>
      </c>
      <c r="Q13" s="528"/>
      <c r="R13" s="292">
        <v>103</v>
      </c>
      <c r="S13" s="456">
        <v>103</v>
      </c>
      <c r="T13" s="414">
        <v>105</v>
      </c>
      <c r="U13" s="528">
        <v>118</v>
      </c>
      <c r="V13" s="566">
        <v>119</v>
      </c>
      <c r="X13" s="25">
        <v>104</v>
      </c>
      <c r="Y13" s="292">
        <f t="shared" si="11"/>
        <v>7</v>
      </c>
      <c r="Z13" s="456">
        <f t="shared" si="12"/>
        <v>8</v>
      </c>
      <c r="AA13" s="30">
        <f t="shared" si="13"/>
        <v>8</v>
      </c>
      <c r="AB13" s="30">
        <f t="shared" si="14"/>
        <v>9</v>
      </c>
    </row>
    <row r="14" spans="2:28" s="30" customFormat="1" ht="18.75" x14ac:dyDescent="0.3">
      <c r="B14" s="292">
        <v>5</v>
      </c>
      <c r="C14" s="566">
        <v>7</v>
      </c>
      <c r="D14" s="522">
        <f t="shared" si="0"/>
        <v>12</v>
      </c>
      <c r="E14" s="252">
        <f t="shared" si="1"/>
        <v>-1.6823611831060645</v>
      </c>
      <c r="F14" s="252">
        <f t="shared" si="2"/>
        <v>8.0471895621705016</v>
      </c>
      <c r="G14" s="252">
        <f t="shared" si="3"/>
        <v>13.621371043387192</v>
      </c>
      <c r="H14" s="252">
        <f t="shared" si="4"/>
        <v>29.818879797456006</v>
      </c>
      <c r="I14" s="252">
        <f t="shared" si="5"/>
        <v>8.3333333333333329E-2</v>
      </c>
      <c r="L14" s="292">
        <f t="shared" ca="1" si="6"/>
        <v>99</v>
      </c>
      <c r="M14" s="456">
        <f t="shared" ca="1" si="7"/>
        <v>100</v>
      </c>
      <c r="N14" s="414">
        <f t="shared" ca="1" si="8"/>
        <v>106</v>
      </c>
      <c r="O14" s="528">
        <f t="shared" ca="1" si="9"/>
        <v>114</v>
      </c>
      <c r="P14" s="566">
        <f t="shared" ca="1" si="10"/>
        <v>125</v>
      </c>
      <c r="Q14" s="528"/>
      <c r="R14" s="292">
        <v>104</v>
      </c>
      <c r="S14" s="456">
        <v>103</v>
      </c>
      <c r="T14" s="414">
        <v>105</v>
      </c>
      <c r="U14" s="528">
        <v>116</v>
      </c>
      <c r="V14" s="566">
        <v>120</v>
      </c>
      <c r="X14" s="25">
        <v>105</v>
      </c>
      <c r="Y14" s="292">
        <f t="shared" si="11"/>
        <v>4</v>
      </c>
      <c r="Z14" s="456">
        <f t="shared" si="12"/>
        <v>6</v>
      </c>
      <c r="AA14" s="30">
        <f t="shared" si="13"/>
        <v>5</v>
      </c>
      <c r="AB14" s="30">
        <f t="shared" si="14"/>
        <v>7</v>
      </c>
    </row>
    <row r="15" spans="2:28" s="30" customFormat="1" ht="18.75" x14ac:dyDescent="0.3">
      <c r="B15" s="292">
        <v>1</v>
      </c>
      <c r="C15" s="566">
        <v>3</v>
      </c>
      <c r="D15" s="522">
        <f t="shared" si="0"/>
        <v>4</v>
      </c>
      <c r="E15" s="252">
        <f t="shared" si="1"/>
        <v>-1.0986122886681098</v>
      </c>
      <c r="F15" s="252">
        <f t="shared" si="2"/>
        <v>0</v>
      </c>
      <c r="G15" s="252">
        <f t="shared" si="3"/>
        <v>3.2958368660043291</v>
      </c>
      <c r="H15" s="252">
        <f t="shared" si="4"/>
        <v>5.5451774444795623</v>
      </c>
      <c r="I15" s="252">
        <f t="shared" si="5"/>
        <v>0.25</v>
      </c>
      <c r="L15" s="292">
        <f t="shared" ca="1" si="6"/>
        <v>104</v>
      </c>
      <c r="M15" s="456">
        <f t="shared" ca="1" si="7"/>
        <v>101</v>
      </c>
      <c r="N15" s="414">
        <f t="shared" ca="1" si="8"/>
        <v>110</v>
      </c>
      <c r="O15" s="528">
        <f t="shared" ca="1" si="9"/>
        <v>119</v>
      </c>
      <c r="P15" s="566">
        <f t="shared" ca="1" si="10"/>
        <v>118</v>
      </c>
      <c r="Q15" s="528"/>
      <c r="R15" s="292">
        <v>95</v>
      </c>
      <c r="S15" s="456">
        <v>104</v>
      </c>
      <c r="T15" s="414">
        <v>115</v>
      </c>
      <c r="U15" s="528">
        <v>119</v>
      </c>
      <c r="V15" s="566">
        <v>117</v>
      </c>
      <c r="X15" s="25">
        <v>106</v>
      </c>
      <c r="Y15" s="292">
        <f t="shared" si="11"/>
        <v>0</v>
      </c>
      <c r="Z15" s="456">
        <f t="shared" si="12"/>
        <v>2</v>
      </c>
      <c r="AA15" s="30">
        <f t="shared" si="13"/>
        <v>1</v>
      </c>
      <c r="AB15" s="30">
        <f t="shared" si="14"/>
        <v>3</v>
      </c>
    </row>
    <row r="16" spans="2:28" s="30" customFormat="1" ht="18.75" x14ac:dyDescent="0.3">
      <c r="B16" s="292">
        <v>1</v>
      </c>
      <c r="C16" s="566">
        <v>2</v>
      </c>
      <c r="D16" s="522">
        <f t="shared" si="0"/>
        <v>3</v>
      </c>
      <c r="E16" s="252">
        <f t="shared" si="1"/>
        <v>-0.69314718055994529</v>
      </c>
      <c r="F16" s="252">
        <f t="shared" si="2"/>
        <v>0</v>
      </c>
      <c r="G16" s="252">
        <f t="shared" si="3"/>
        <v>1.3862943611198906</v>
      </c>
      <c r="H16" s="252">
        <f t="shared" si="4"/>
        <v>3.2958368660043291</v>
      </c>
      <c r="I16" s="252">
        <f t="shared" si="5"/>
        <v>0.33333333333333331</v>
      </c>
      <c r="L16" s="292">
        <f t="shared" ca="1" si="6"/>
        <v>100</v>
      </c>
      <c r="M16" s="456">
        <f t="shared" ca="1" si="7"/>
        <v>101</v>
      </c>
      <c r="N16" s="414">
        <f t="shared" ca="1" si="8"/>
        <v>105</v>
      </c>
      <c r="O16" s="528">
        <f t="shared" ca="1" si="9"/>
        <v>120</v>
      </c>
      <c r="P16" s="566">
        <f t="shared" ca="1" si="10"/>
        <v>125</v>
      </c>
      <c r="Q16" s="528"/>
      <c r="R16" s="292">
        <v>98</v>
      </c>
      <c r="S16" s="456">
        <v>104</v>
      </c>
      <c r="T16" s="414">
        <v>114</v>
      </c>
      <c r="U16" s="528">
        <v>118</v>
      </c>
      <c r="V16" s="566">
        <v>118</v>
      </c>
      <c r="X16" s="25">
        <v>107</v>
      </c>
      <c r="Y16" s="292">
        <f t="shared" si="11"/>
        <v>0</v>
      </c>
      <c r="Z16" s="456">
        <f t="shared" si="12"/>
        <v>1</v>
      </c>
      <c r="AA16" s="30">
        <f t="shared" si="13"/>
        <v>1</v>
      </c>
      <c r="AB16" s="30">
        <f t="shared" si="14"/>
        <v>2</v>
      </c>
    </row>
    <row r="17" spans="2:28" s="30" customFormat="1" ht="18.75" x14ac:dyDescent="0.3">
      <c r="B17" s="292">
        <v>1</v>
      </c>
      <c r="C17" s="566">
        <v>7</v>
      </c>
      <c r="D17" s="522">
        <f t="shared" si="0"/>
        <v>8</v>
      </c>
      <c r="E17" s="252">
        <f t="shared" si="1"/>
        <v>-1.9459101490553135</v>
      </c>
      <c r="F17" s="252">
        <f t="shared" si="2"/>
        <v>0</v>
      </c>
      <c r="G17" s="252">
        <f t="shared" si="3"/>
        <v>13.621371043387192</v>
      </c>
      <c r="H17" s="252">
        <f t="shared" si="4"/>
        <v>16.635532333438686</v>
      </c>
      <c r="I17" s="252">
        <f t="shared" si="5"/>
        <v>0.125</v>
      </c>
      <c r="L17" s="292">
        <f t="shared" ca="1" si="6"/>
        <v>100</v>
      </c>
      <c r="M17" s="456">
        <f t="shared" ca="1" si="7"/>
        <v>104</v>
      </c>
      <c r="N17" s="414">
        <f t="shared" ca="1" si="8"/>
        <v>110</v>
      </c>
      <c r="O17" s="528">
        <f t="shared" ca="1" si="9"/>
        <v>120</v>
      </c>
      <c r="P17" s="566">
        <f t="shared" ca="1" si="10"/>
        <v>124</v>
      </c>
      <c r="Q17" s="528"/>
      <c r="R17" s="292">
        <v>99</v>
      </c>
      <c r="S17" s="456">
        <v>104</v>
      </c>
      <c r="T17" s="414">
        <v>111</v>
      </c>
      <c r="U17" s="528">
        <v>114</v>
      </c>
      <c r="V17" s="566">
        <v>123</v>
      </c>
      <c r="X17" s="25">
        <v>108</v>
      </c>
      <c r="Y17" s="292">
        <f t="shared" si="11"/>
        <v>0</v>
      </c>
      <c r="Z17" s="456">
        <f t="shared" si="12"/>
        <v>6</v>
      </c>
      <c r="AA17" s="30">
        <f t="shared" si="13"/>
        <v>1</v>
      </c>
      <c r="AB17" s="30">
        <f t="shared" si="14"/>
        <v>7</v>
      </c>
    </row>
    <row r="18" spans="2:28" s="30" customFormat="1" ht="18.75" x14ac:dyDescent="0.3">
      <c r="B18" s="292">
        <v>1</v>
      </c>
      <c r="C18" s="566">
        <v>3</v>
      </c>
      <c r="D18" s="522">
        <f t="shared" si="0"/>
        <v>4</v>
      </c>
      <c r="E18" s="252">
        <f t="shared" si="1"/>
        <v>-1.0986122886681098</v>
      </c>
      <c r="F18" s="252">
        <f t="shared" si="2"/>
        <v>0</v>
      </c>
      <c r="G18" s="252">
        <f t="shared" si="3"/>
        <v>3.2958368660043291</v>
      </c>
      <c r="H18" s="252">
        <f t="shared" si="4"/>
        <v>5.5451774444795623</v>
      </c>
      <c r="I18" s="252">
        <f t="shared" si="5"/>
        <v>0.25</v>
      </c>
      <c r="L18" s="292">
        <f t="shared" ca="1" si="6"/>
        <v>98</v>
      </c>
      <c r="M18" s="456">
        <f t="shared" ca="1" si="7"/>
        <v>107</v>
      </c>
      <c r="N18" s="414">
        <f t="shared" ca="1" si="8"/>
        <v>113</v>
      </c>
      <c r="O18" s="528">
        <f t="shared" ca="1" si="9"/>
        <v>112</v>
      </c>
      <c r="P18" s="566">
        <f t="shared" ca="1" si="10"/>
        <v>124</v>
      </c>
      <c r="Q18" s="528"/>
      <c r="R18" s="292">
        <v>99</v>
      </c>
      <c r="S18" s="456">
        <v>104</v>
      </c>
      <c r="T18" s="414">
        <v>107</v>
      </c>
      <c r="U18" s="528">
        <v>110</v>
      </c>
      <c r="V18" s="566">
        <v>117</v>
      </c>
      <c r="X18" s="25">
        <v>109</v>
      </c>
      <c r="Y18" s="292">
        <f t="shared" si="11"/>
        <v>0</v>
      </c>
      <c r="Z18" s="456">
        <f t="shared" si="12"/>
        <v>2</v>
      </c>
      <c r="AA18" s="30">
        <f t="shared" si="13"/>
        <v>1</v>
      </c>
      <c r="AB18" s="30">
        <f t="shared" si="14"/>
        <v>3</v>
      </c>
    </row>
    <row r="19" spans="2:28" s="30" customFormat="1" ht="18.75" x14ac:dyDescent="0.3">
      <c r="B19" s="292">
        <v>1</v>
      </c>
      <c r="C19" s="566">
        <v>5</v>
      </c>
      <c r="D19" s="522">
        <f t="shared" si="0"/>
        <v>6</v>
      </c>
      <c r="E19" s="252">
        <f t="shared" si="1"/>
        <v>-1.6094379124341003</v>
      </c>
      <c r="F19" s="252">
        <f t="shared" si="2"/>
        <v>0</v>
      </c>
      <c r="G19" s="252">
        <f t="shared" si="3"/>
        <v>8.0471895621705016</v>
      </c>
      <c r="H19" s="252">
        <f t="shared" si="4"/>
        <v>10.750556815368331</v>
      </c>
      <c r="I19" s="252">
        <f t="shared" si="5"/>
        <v>0.16666666666666666</v>
      </c>
      <c r="L19" s="292">
        <f t="shared" ca="1" si="6"/>
        <v>105</v>
      </c>
      <c r="M19" s="456">
        <f t="shared" ca="1" si="7"/>
        <v>107</v>
      </c>
      <c r="N19" s="414">
        <f t="shared" ca="1" si="8"/>
        <v>108</v>
      </c>
      <c r="O19" s="528">
        <f t="shared" ca="1" si="9"/>
        <v>110</v>
      </c>
      <c r="P19" s="566">
        <f t="shared" ca="1" si="10"/>
        <v>123</v>
      </c>
      <c r="Q19" s="528"/>
      <c r="R19" s="292">
        <v>103</v>
      </c>
      <c r="S19" s="456">
        <v>104</v>
      </c>
      <c r="T19" s="414">
        <v>105</v>
      </c>
      <c r="U19" s="528">
        <v>120</v>
      </c>
      <c r="V19" s="566">
        <v>122</v>
      </c>
      <c r="X19" s="25">
        <v>110</v>
      </c>
      <c r="Y19" s="292">
        <f t="shared" si="11"/>
        <v>0</v>
      </c>
      <c r="Z19" s="456">
        <f t="shared" si="12"/>
        <v>4</v>
      </c>
      <c r="AA19" s="30">
        <f t="shared" si="13"/>
        <v>1</v>
      </c>
      <c r="AB19" s="30">
        <f t="shared" si="14"/>
        <v>5</v>
      </c>
    </row>
    <row r="20" spans="2:28" s="30" customFormat="1" ht="18.75" x14ac:dyDescent="0.3">
      <c r="B20" s="292"/>
      <c r="C20" s="566"/>
      <c r="D20" s="522" t="str">
        <f t="shared" si="0"/>
        <v xml:space="preserve"> </v>
      </c>
      <c r="E20" s="252" t="str">
        <f t="shared" si="1"/>
        <v xml:space="preserve"> </v>
      </c>
      <c r="F20" s="252" t="str">
        <f t="shared" si="2"/>
        <v xml:space="preserve"> </v>
      </c>
      <c r="G20" s="252" t="str">
        <f t="shared" si="3"/>
        <v xml:space="preserve"> </v>
      </c>
      <c r="H20" s="252" t="str">
        <f t="shared" si="4"/>
        <v xml:space="preserve"> </v>
      </c>
      <c r="I20" s="252" t="str">
        <f t="shared" si="5"/>
        <v xml:space="preserve"> </v>
      </c>
      <c r="L20" s="292">
        <f t="shared" ca="1" si="6"/>
        <v>104</v>
      </c>
      <c r="M20" s="456">
        <f t="shared" ca="1" si="7"/>
        <v>100</v>
      </c>
      <c r="N20" s="414">
        <f t="shared" ca="1" si="8"/>
        <v>114</v>
      </c>
      <c r="O20" s="528">
        <f t="shared" ca="1" si="9"/>
        <v>117</v>
      </c>
      <c r="P20" s="566">
        <f t="shared" ca="1" si="10"/>
        <v>125</v>
      </c>
      <c r="Q20" s="528"/>
      <c r="R20" s="292">
        <v>104</v>
      </c>
      <c r="S20" s="456">
        <v>104</v>
      </c>
      <c r="T20" s="414">
        <v>107</v>
      </c>
      <c r="U20" s="528">
        <v>114</v>
      </c>
      <c r="V20" s="566">
        <v>115</v>
      </c>
    </row>
    <row r="21" spans="2:28" s="30" customFormat="1" ht="18.75" x14ac:dyDescent="0.3">
      <c r="B21" s="292"/>
      <c r="C21" s="566"/>
      <c r="D21" s="522" t="str">
        <f t="shared" si="0"/>
        <v xml:space="preserve"> </v>
      </c>
      <c r="E21" s="252" t="str">
        <f t="shared" si="1"/>
        <v xml:space="preserve"> </v>
      </c>
      <c r="F21" s="252" t="str">
        <f t="shared" si="2"/>
        <v xml:space="preserve"> </v>
      </c>
      <c r="G21" s="252" t="str">
        <f t="shared" si="3"/>
        <v xml:space="preserve"> </v>
      </c>
      <c r="H21" s="252" t="str">
        <f t="shared" si="4"/>
        <v xml:space="preserve"> </v>
      </c>
      <c r="I21" s="252" t="str">
        <f t="shared" si="5"/>
        <v xml:space="preserve"> </v>
      </c>
      <c r="L21" s="292">
        <f t="shared" ca="1" si="6"/>
        <v>105</v>
      </c>
      <c r="M21" s="456">
        <f t="shared" ca="1" si="7"/>
        <v>105</v>
      </c>
      <c r="N21" s="414">
        <f t="shared" ca="1" si="8"/>
        <v>113</v>
      </c>
      <c r="O21" s="528">
        <f t="shared" ca="1" si="9"/>
        <v>115</v>
      </c>
      <c r="P21" s="566">
        <f t="shared" ca="1" si="10"/>
        <v>121</v>
      </c>
      <c r="Q21" s="528"/>
      <c r="R21" s="292">
        <v>105</v>
      </c>
      <c r="S21" s="456">
        <v>104</v>
      </c>
      <c r="T21" s="414">
        <v>113</v>
      </c>
      <c r="U21" s="528">
        <v>115</v>
      </c>
      <c r="V21" s="566">
        <v>125</v>
      </c>
    </row>
    <row r="22" spans="2:28" s="30" customFormat="1" ht="18.75" x14ac:dyDescent="0.3">
      <c r="B22" s="292"/>
      <c r="C22" s="566"/>
      <c r="D22" s="522" t="str">
        <f t="shared" si="0"/>
        <v xml:space="preserve"> </v>
      </c>
      <c r="E22" s="252" t="str">
        <f t="shared" si="1"/>
        <v xml:space="preserve"> </v>
      </c>
      <c r="F22" s="252" t="str">
        <f t="shared" si="2"/>
        <v xml:space="preserve"> </v>
      </c>
      <c r="G22" s="252" t="str">
        <f t="shared" si="3"/>
        <v xml:space="preserve"> </v>
      </c>
      <c r="H22" s="252" t="str">
        <f t="shared" si="4"/>
        <v xml:space="preserve"> </v>
      </c>
      <c r="I22" s="252" t="str">
        <f t="shared" si="5"/>
        <v xml:space="preserve"> </v>
      </c>
      <c r="L22" s="292">
        <f t="shared" ca="1" si="6"/>
        <v>102</v>
      </c>
      <c r="M22" s="456">
        <f t="shared" ca="1" si="7"/>
        <v>109</v>
      </c>
      <c r="N22" s="414">
        <f t="shared" ca="1" si="8"/>
        <v>106</v>
      </c>
      <c r="O22" s="528">
        <f t="shared" ca="1" si="9"/>
        <v>110</v>
      </c>
      <c r="P22" s="566">
        <f t="shared" ca="1" si="10"/>
        <v>124</v>
      </c>
      <c r="Q22" s="528"/>
      <c r="R22" s="292">
        <v>105</v>
      </c>
      <c r="S22" s="456">
        <v>104</v>
      </c>
      <c r="T22" s="414">
        <v>113</v>
      </c>
      <c r="U22" s="528">
        <v>120</v>
      </c>
      <c r="V22" s="566">
        <v>117</v>
      </c>
    </row>
    <row r="23" spans="2:28" s="30" customFormat="1" ht="18.75" x14ac:dyDescent="0.3">
      <c r="B23" s="292"/>
      <c r="C23" s="566"/>
      <c r="D23" s="522" t="str">
        <f t="shared" si="0"/>
        <v xml:space="preserve"> </v>
      </c>
      <c r="E23" s="252" t="str">
        <f t="shared" si="1"/>
        <v xml:space="preserve"> </v>
      </c>
      <c r="F23" s="252" t="str">
        <f t="shared" si="2"/>
        <v xml:space="preserve"> </v>
      </c>
      <c r="G23" s="252" t="str">
        <f t="shared" si="3"/>
        <v xml:space="preserve"> </v>
      </c>
      <c r="H23" s="252" t="str">
        <f t="shared" si="4"/>
        <v xml:space="preserve"> </v>
      </c>
      <c r="I23" s="252" t="str">
        <f t="shared" si="5"/>
        <v xml:space="preserve"> </v>
      </c>
      <c r="L23" s="292">
        <f t="shared" ca="1" si="6"/>
        <v>104</v>
      </c>
      <c r="M23" s="456">
        <f t="shared" ca="1" si="7"/>
        <v>103</v>
      </c>
      <c r="N23" s="414">
        <f t="shared" ca="1" si="8"/>
        <v>107</v>
      </c>
      <c r="O23" s="528">
        <f t="shared" ca="1" si="9"/>
        <v>113</v>
      </c>
      <c r="P23" s="566">
        <f t="shared" ca="1" si="10"/>
        <v>116</v>
      </c>
      <c r="Q23" s="528"/>
      <c r="R23" s="292">
        <v>97</v>
      </c>
      <c r="S23" s="456">
        <v>105</v>
      </c>
      <c r="T23" s="414">
        <v>115</v>
      </c>
      <c r="U23" s="528">
        <v>120</v>
      </c>
      <c r="V23" s="566">
        <v>116</v>
      </c>
    </row>
    <row r="24" spans="2:28" s="30" customFormat="1" ht="18.75" x14ac:dyDescent="0.3">
      <c r="B24" s="292"/>
      <c r="C24" s="566"/>
      <c r="D24" s="522" t="str">
        <f t="shared" si="0"/>
        <v xml:space="preserve"> </v>
      </c>
      <c r="E24" s="252" t="str">
        <f t="shared" si="1"/>
        <v xml:space="preserve"> </v>
      </c>
      <c r="F24" s="252" t="str">
        <f t="shared" si="2"/>
        <v xml:space="preserve"> </v>
      </c>
      <c r="G24" s="252" t="str">
        <f t="shared" si="3"/>
        <v xml:space="preserve"> </v>
      </c>
      <c r="H24" s="252" t="str">
        <f t="shared" si="4"/>
        <v xml:space="preserve"> </v>
      </c>
      <c r="I24" s="252" t="str">
        <f t="shared" si="5"/>
        <v xml:space="preserve"> </v>
      </c>
      <c r="L24" s="292">
        <f t="shared" ca="1" si="6"/>
        <v>97</v>
      </c>
      <c r="M24" s="456">
        <f t="shared" ca="1" si="7"/>
        <v>102</v>
      </c>
      <c r="N24" s="414">
        <f t="shared" ca="1" si="8"/>
        <v>106</v>
      </c>
      <c r="O24" s="528">
        <f t="shared" ca="1" si="9"/>
        <v>114</v>
      </c>
      <c r="P24" s="566">
        <f t="shared" ca="1" si="10"/>
        <v>122</v>
      </c>
      <c r="R24" s="292">
        <v>98</v>
      </c>
      <c r="S24" s="456">
        <v>105</v>
      </c>
      <c r="T24" s="414">
        <v>107</v>
      </c>
      <c r="U24" s="528">
        <v>110</v>
      </c>
      <c r="V24" s="566">
        <v>125</v>
      </c>
    </row>
    <row r="25" spans="2:28" s="30" customFormat="1" ht="18.75" x14ac:dyDescent="0.3">
      <c r="B25" s="292"/>
      <c r="C25" s="566"/>
      <c r="D25" s="522" t="str">
        <f t="shared" si="0"/>
        <v xml:space="preserve"> </v>
      </c>
      <c r="E25" s="252" t="str">
        <f t="shared" si="1"/>
        <v xml:space="preserve"> </v>
      </c>
      <c r="F25" s="252" t="str">
        <f t="shared" si="2"/>
        <v xml:space="preserve"> </v>
      </c>
      <c r="G25" s="252" t="str">
        <f t="shared" si="3"/>
        <v xml:space="preserve"> </v>
      </c>
      <c r="H25" s="252" t="str">
        <f t="shared" si="4"/>
        <v xml:space="preserve"> </v>
      </c>
      <c r="I25" s="252" t="str">
        <f t="shared" si="5"/>
        <v xml:space="preserve"> </v>
      </c>
      <c r="L25" s="292">
        <f t="shared" ca="1" si="6"/>
        <v>96</v>
      </c>
      <c r="M25" s="456">
        <f t="shared" ca="1" si="7"/>
        <v>102</v>
      </c>
      <c r="N25" s="414">
        <f t="shared" ca="1" si="8"/>
        <v>108</v>
      </c>
      <c r="O25" s="528">
        <f t="shared" ca="1" si="9"/>
        <v>110</v>
      </c>
      <c r="P25" s="566">
        <f t="shared" ca="1" si="10"/>
        <v>119</v>
      </c>
      <c r="R25" s="292">
        <v>98</v>
      </c>
      <c r="S25" s="456">
        <v>105</v>
      </c>
      <c r="T25" s="414">
        <v>115</v>
      </c>
      <c r="U25" s="528">
        <v>112</v>
      </c>
      <c r="V25" s="566">
        <v>121</v>
      </c>
    </row>
    <row r="26" spans="2:28" s="30" customFormat="1" ht="18.75" x14ac:dyDescent="0.3">
      <c r="B26" s="292"/>
      <c r="C26" s="566"/>
      <c r="D26" s="522" t="str">
        <f t="shared" si="0"/>
        <v xml:space="preserve"> </v>
      </c>
      <c r="E26" s="252" t="str">
        <f t="shared" si="1"/>
        <v xml:space="preserve"> </v>
      </c>
      <c r="F26" s="252" t="str">
        <f t="shared" si="2"/>
        <v xml:space="preserve"> </v>
      </c>
      <c r="G26" s="252" t="str">
        <f t="shared" si="3"/>
        <v xml:space="preserve"> </v>
      </c>
      <c r="H26" s="252" t="str">
        <f t="shared" si="4"/>
        <v xml:space="preserve"> </v>
      </c>
      <c r="I26" s="252" t="str">
        <f t="shared" si="5"/>
        <v xml:space="preserve"> </v>
      </c>
      <c r="L26" s="292">
        <f t="shared" ca="1" si="6"/>
        <v>98</v>
      </c>
      <c r="M26" s="456">
        <f t="shared" ca="1" si="7"/>
        <v>106</v>
      </c>
      <c r="N26" s="414">
        <f t="shared" ca="1" si="8"/>
        <v>107</v>
      </c>
      <c r="O26" s="528">
        <f t="shared" ca="1" si="9"/>
        <v>120</v>
      </c>
      <c r="P26" s="566">
        <f t="shared" ca="1" si="10"/>
        <v>125</v>
      </c>
      <c r="R26" s="292">
        <v>102</v>
      </c>
      <c r="S26" s="456">
        <v>105</v>
      </c>
      <c r="T26" s="414">
        <v>106</v>
      </c>
      <c r="U26" s="528">
        <v>111</v>
      </c>
      <c r="V26" s="566">
        <v>120</v>
      </c>
    </row>
    <row r="27" spans="2:28" s="30" customFormat="1" ht="18.75" x14ac:dyDescent="0.3">
      <c r="B27" s="292"/>
      <c r="C27" s="566"/>
      <c r="D27" s="522" t="str">
        <f t="shared" si="0"/>
        <v xml:space="preserve"> </v>
      </c>
      <c r="E27" s="252" t="str">
        <f t="shared" si="1"/>
        <v xml:space="preserve"> </v>
      </c>
      <c r="F27" s="252" t="str">
        <f t="shared" si="2"/>
        <v xml:space="preserve"> </v>
      </c>
      <c r="G27" s="252" t="str">
        <f t="shared" si="3"/>
        <v xml:space="preserve"> </v>
      </c>
      <c r="H27" s="252" t="str">
        <f t="shared" si="4"/>
        <v xml:space="preserve"> </v>
      </c>
      <c r="I27" s="252" t="str">
        <f t="shared" si="5"/>
        <v xml:space="preserve"> </v>
      </c>
      <c r="L27" s="292">
        <f t="shared" ca="1" si="6"/>
        <v>104</v>
      </c>
      <c r="M27" s="456">
        <f t="shared" ca="1" si="7"/>
        <v>108</v>
      </c>
      <c r="N27" s="414">
        <f t="shared" ca="1" si="8"/>
        <v>105</v>
      </c>
      <c r="O27" s="528">
        <f t="shared" ca="1" si="9"/>
        <v>114</v>
      </c>
      <c r="P27" s="566">
        <f t="shared" ca="1" si="10"/>
        <v>120</v>
      </c>
      <c r="R27" s="292">
        <v>104</v>
      </c>
      <c r="S27" s="456">
        <v>105</v>
      </c>
      <c r="T27" s="414">
        <v>105</v>
      </c>
      <c r="U27" s="528">
        <v>115</v>
      </c>
      <c r="V27" s="566">
        <v>122</v>
      </c>
    </row>
    <row r="28" spans="2:28" s="30" customFormat="1" ht="18.75" x14ac:dyDescent="0.3">
      <c r="B28" s="292"/>
      <c r="C28" s="566"/>
      <c r="D28" s="522" t="str">
        <f t="shared" si="0"/>
        <v xml:space="preserve"> </v>
      </c>
      <c r="E28" s="252" t="str">
        <f t="shared" si="1"/>
        <v xml:space="preserve"> </v>
      </c>
      <c r="F28" s="252" t="str">
        <f t="shared" si="2"/>
        <v xml:space="preserve"> </v>
      </c>
      <c r="G28" s="252" t="str">
        <f t="shared" si="3"/>
        <v xml:space="preserve"> </v>
      </c>
      <c r="H28" s="252" t="str">
        <f t="shared" si="4"/>
        <v xml:space="preserve"> </v>
      </c>
      <c r="I28" s="252" t="str">
        <f t="shared" si="5"/>
        <v xml:space="preserve"> </v>
      </c>
      <c r="L28" s="292">
        <f t="shared" ca="1" si="6"/>
        <v>99</v>
      </c>
      <c r="M28" s="456">
        <f t="shared" ca="1" si="7"/>
        <v>108</v>
      </c>
      <c r="N28" s="414">
        <f t="shared" ca="1" si="8"/>
        <v>110</v>
      </c>
      <c r="O28" s="528">
        <f t="shared" ca="1" si="9"/>
        <v>120</v>
      </c>
      <c r="P28" s="566">
        <f t="shared" ca="1" si="10"/>
        <v>124</v>
      </c>
      <c r="R28" s="292">
        <v>105</v>
      </c>
      <c r="S28" s="456">
        <v>105</v>
      </c>
      <c r="T28" s="414">
        <v>105</v>
      </c>
      <c r="U28" s="528">
        <v>115</v>
      </c>
      <c r="V28" s="566">
        <v>119</v>
      </c>
    </row>
    <row r="29" spans="2:28" s="30" customFormat="1" ht="18.75" x14ac:dyDescent="0.3">
      <c r="B29" s="292"/>
      <c r="C29" s="566"/>
      <c r="D29" s="522" t="str">
        <f t="shared" si="0"/>
        <v xml:space="preserve"> </v>
      </c>
      <c r="E29" s="252" t="str">
        <f t="shared" si="1"/>
        <v xml:space="preserve"> </v>
      </c>
      <c r="F29" s="252" t="str">
        <f t="shared" si="2"/>
        <v xml:space="preserve"> </v>
      </c>
      <c r="G29" s="252" t="str">
        <f t="shared" si="3"/>
        <v xml:space="preserve"> </v>
      </c>
      <c r="H29" s="252" t="str">
        <f t="shared" si="4"/>
        <v xml:space="preserve"> </v>
      </c>
      <c r="I29" s="252" t="str">
        <f t="shared" si="5"/>
        <v xml:space="preserve"> </v>
      </c>
      <c r="L29" s="292">
        <f t="shared" ca="1" si="6"/>
        <v>95</v>
      </c>
      <c r="M29" s="456">
        <f t="shared" ca="1" si="7"/>
        <v>109</v>
      </c>
      <c r="N29" s="414">
        <f t="shared" ca="1" si="8"/>
        <v>110</v>
      </c>
      <c r="O29" s="528">
        <f t="shared" ca="1" si="9"/>
        <v>113</v>
      </c>
      <c r="P29" s="566">
        <f t="shared" ca="1" si="10"/>
        <v>115</v>
      </c>
      <c r="R29" s="292">
        <v>96</v>
      </c>
      <c r="S29" s="456">
        <v>106</v>
      </c>
      <c r="T29" s="414">
        <v>114</v>
      </c>
      <c r="U29" s="528">
        <v>117</v>
      </c>
      <c r="V29" s="566">
        <v>121</v>
      </c>
    </row>
    <row r="30" spans="2:28" s="30" customFormat="1" ht="18.75" x14ac:dyDescent="0.3">
      <c r="B30" s="292"/>
      <c r="C30" s="566"/>
      <c r="D30" s="522" t="str">
        <f t="shared" si="0"/>
        <v xml:space="preserve"> </v>
      </c>
      <c r="E30" s="252" t="str">
        <f t="shared" si="1"/>
        <v xml:space="preserve"> </v>
      </c>
      <c r="F30" s="252" t="str">
        <f t="shared" si="2"/>
        <v xml:space="preserve"> </v>
      </c>
      <c r="G30" s="252" t="str">
        <f t="shared" si="3"/>
        <v xml:space="preserve"> </v>
      </c>
      <c r="H30" s="252" t="str">
        <f t="shared" si="4"/>
        <v xml:space="preserve"> </v>
      </c>
      <c r="I30" s="252" t="str">
        <f t="shared" si="5"/>
        <v xml:space="preserve"> </v>
      </c>
      <c r="L30" s="292">
        <f t="shared" ca="1" si="6"/>
        <v>99</v>
      </c>
      <c r="M30" s="456">
        <f t="shared" ca="1" si="7"/>
        <v>109</v>
      </c>
      <c r="N30" s="414">
        <f t="shared" ca="1" si="8"/>
        <v>113</v>
      </c>
      <c r="O30" s="528">
        <f t="shared" ca="1" si="9"/>
        <v>113</v>
      </c>
      <c r="P30" s="566">
        <f t="shared" ca="1" si="10"/>
        <v>124</v>
      </c>
      <c r="R30" s="292">
        <v>97</v>
      </c>
      <c r="S30" s="456">
        <v>106</v>
      </c>
      <c r="T30" s="414">
        <v>113</v>
      </c>
      <c r="U30" s="528">
        <v>117</v>
      </c>
      <c r="V30" s="566">
        <v>118</v>
      </c>
    </row>
    <row r="31" spans="2:28" s="30" customFormat="1" ht="18.75" x14ac:dyDescent="0.3">
      <c r="B31" s="292"/>
      <c r="C31" s="566"/>
      <c r="D31" s="522" t="str">
        <f t="shared" si="0"/>
        <v xml:space="preserve"> </v>
      </c>
      <c r="E31" s="252" t="str">
        <f t="shared" si="1"/>
        <v xml:space="preserve"> </v>
      </c>
      <c r="F31" s="252" t="str">
        <f t="shared" si="2"/>
        <v xml:space="preserve"> </v>
      </c>
      <c r="G31" s="252" t="str">
        <f t="shared" si="3"/>
        <v xml:space="preserve"> </v>
      </c>
      <c r="H31" s="252" t="str">
        <f t="shared" si="4"/>
        <v xml:space="preserve"> </v>
      </c>
      <c r="I31" s="252" t="str">
        <f t="shared" si="5"/>
        <v xml:space="preserve"> </v>
      </c>
      <c r="L31" s="292">
        <f t="shared" ca="1" si="6"/>
        <v>99</v>
      </c>
      <c r="M31" s="456">
        <f t="shared" ca="1" si="7"/>
        <v>100</v>
      </c>
      <c r="N31" s="414">
        <f t="shared" ca="1" si="8"/>
        <v>107</v>
      </c>
      <c r="O31" s="528">
        <f t="shared" ca="1" si="9"/>
        <v>116</v>
      </c>
      <c r="P31" s="566">
        <f t="shared" ca="1" si="10"/>
        <v>118</v>
      </c>
      <c r="R31" s="292">
        <v>104</v>
      </c>
      <c r="S31" s="456">
        <v>107</v>
      </c>
      <c r="T31" s="414">
        <v>106</v>
      </c>
      <c r="U31" s="528">
        <v>116</v>
      </c>
      <c r="V31" s="566">
        <v>119</v>
      </c>
    </row>
    <row r="32" spans="2:28" s="30" customFormat="1" ht="18.75" x14ac:dyDescent="0.3">
      <c r="B32" s="292"/>
      <c r="C32" s="566"/>
      <c r="D32" s="522" t="str">
        <f t="shared" si="0"/>
        <v xml:space="preserve"> </v>
      </c>
      <c r="E32" s="252" t="str">
        <f t="shared" si="1"/>
        <v xml:space="preserve"> </v>
      </c>
      <c r="F32" s="252" t="str">
        <f t="shared" si="2"/>
        <v xml:space="preserve"> </v>
      </c>
      <c r="G32" s="252" t="str">
        <f t="shared" si="3"/>
        <v xml:space="preserve"> </v>
      </c>
      <c r="H32" s="252" t="str">
        <f t="shared" si="4"/>
        <v xml:space="preserve"> </v>
      </c>
      <c r="I32" s="252" t="str">
        <f t="shared" si="5"/>
        <v xml:space="preserve"> </v>
      </c>
      <c r="L32" s="292">
        <f t="shared" ca="1" si="6"/>
        <v>100</v>
      </c>
      <c r="M32" s="456">
        <f t="shared" ca="1" si="7"/>
        <v>109</v>
      </c>
      <c r="N32" s="414">
        <f t="shared" ca="1" si="8"/>
        <v>110</v>
      </c>
      <c r="O32" s="528">
        <f t="shared" ca="1" si="9"/>
        <v>112</v>
      </c>
      <c r="P32" s="566">
        <f t="shared" ca="1" si="10"/>
        <v>125</v>
      </c>
      <c r="R32" s="292">
        <v>95</v>
      </c>
      <c r="S32" s="456">
        <v>108</v>
      </c>
      <c r="T32" s="414">
        <v>113</v>
      </c>
      <c r="U32" s="528">
        <v>110</v>
      </c>
      <c r="V32" s="566">
        <v>121</v>
      </c>
    </row>
    <row r="33" spans="2:22" s="30" customFormat="1" ht="18.75" x14ac:dyDescent="0.3">
      <c r="B33" s="292"/>
      <c r="C33" s="566"/>
      <c r="D33" s="522" t="str">
        <f t="shared" si="0"/>
        <v xml:space="preserve"> </v>
      </c>
      <c r="E33" s="252" t="str">
        <f t="shared" si="1"/>
        <v xml:space="preserve"> </v>
      </c>
      <c r="F33" s="252" t="str">
        <f t="shared" si="2"/>
        <v xml:space="preserve"> </v>
      </c>
      <c r="G33" s="252" t="str">
        <f t="shared" si="3"/>
        <v xml:space="preserve"> </v>
      </c>
      <c r="H33" s="252" t="str">
        <f t="shared" si="4"/>
        <v xml:space="preserve"> </v>
      </c>
      <c r="I33" s="252" t="str">
        <f t="shared" si="5"/>
        <v xml:space="preserve"> </v>
      </c>
      <c r="L33" s="292">
        <f t="shared" ca="1" si="6"/>
        <v>98</v>
      </c>
      <c r="M33" s="456">
        <f t="shared" ca="1" si="7"/>
        <v>102</v>
      </c>
      <c r="N33" s="414">
        <f t="shared" ca="1" si="8"/>
        <v>110</v>
      </c>
      <c r="O33" s="528">
        <f t="shared" ca="1" si="9"/>
        <v>112</v>
      </c>
      <c r="P33" s="566">
        <f t="shared" ca="1" si="10"/>
        <v>122</v>
      </c>
      <c r="R33" s="292">
        <v>96</v>
      </c>
      <c r="S33" s="456">
        <v>108</v>
      </c>
      <c r="T33" s="414">
        <v>111</v>
      </c>
      <c r="U33" s="528">
        <v>115</v>
      </c>
      <c r="V33" s="566">
        <v>116</v>
      </c>
    </row>
    <row r="34" spans="2:22" s="30" customFormat="1" ht="18.75" x14ac:dyDescent="0.3">
      <c r="B34" s="292"/>
      <c r="C34" s="566"/>
      <c r="D34" s="522" t="str">
        <f t="shared" si="0"/>
        <v xml:space="preserve"> </v>
      </c>
      <c r="E34" s="252" t="str">
        <f t="shared" si="1"/>
        <v xml:space="preserve"> </v>
      </c>
      <c r="F34" s="252" t="str">
        <f t="shared" si="2"/>
        <v xml:space="preserve"> </v>
      </c>
      <c r="G34" s="252" t="str">
        <f t="shared" si="3"/>
        <v xml:space="preserve"> </v>
      </c>
      <c r="H34" s="252" t="str">
        <f t="shared" si="4"/>
        <v xml:space="preserve"> </v>
      </c>
      <c r="I34" s="252" t="str">
        <f t="shared" si="5"/>
        <v xml:space="preserve"> </v>
      </c>
      <c r="L34" s="292">
        <f t="shared" ca="1" si="6"/>
        <v>97</v>
      </c>
      <c r="M34" s="456">
        <f t="shared" ca="1" si="7"/>
        <v>106</v>
      </c>
      <c r="N34" s="414">
        <f t="shared" ca="1" si="8"/>
        <v>105</v>
      </c>
      <c r="O34" s="528">
        <f t="shared" ca="1" si="9"/>
        <v>118</v>
      </c>
      <c r="P34" s="566">
        <f t="shared" ca="1" si="10"/>
        <v>123</v>
      </c>
      <c r="R34" s="292">
        <v>99</v>
      </c>
      <c r="S34" s="456">
        <v>108</v>
      </c>
      <c r="T34" s="414">
        <v>114</v>
      </c>
      <c r="U34" s="528">
        <v>111</v>
      </c>
      <c r="V34" s="566">
        <v>117</v>
      </c>
    </row>
    <row r="35" spans="2:22" s="30" customFormat="1" ht="18.75" x14ac:dyDescent="0.3">
      <c r="B35" s="292"/>
      <c r="C35" s="566"/>
      <c r="D35" s="522" t="str">
        <f t="shared" si="0"/>
        <v xml:space="preserve"> </v>
      </c>
      <c r="E35" s="252" t="str">
        <f t="shared" si="1"/>
        <v xml:space="preserve"> </v>
      </c>
      <c r="F35" s="252" t="str">
        <f t="shared" si="2"/>
        <v xml:space="preserve"> </v>
      </c>
      <c r="G35" s="252" t="str">
        <f t="shared" si="3"/>
        <v xml:space="preserve"> </v>
      </c>
      <c r="H35" s="252" t="str">
        <f t="shared" si="4"/>
        <v xml:space="preserve"> </v>
      </c>
      <c r="I35" s="252" t="str">
        <f t="shared" si="5"/>
        <v xml:space="preserve"> </v>
      </c>
      <c r="L35" s="292">
        <f t="shared" ca="1" si="6"/>
        <v>105</v>
      </c>
      <c r="M35" s="456">
        <f t="shared" ca="1" si="7"/>
        <v>103</v>
      </c>
      <c r="N35" s="414">
        <f t="shared" ca="1" si="8"/>
        <v>115</v>
      </c>
      <c r="O35" s="528">
        <f t="shared" ca="1" si="9"/>
        <v>119</v>
      </c>
      <c r="P35" s="566">
        <f t="shared" ca="1" si="10"/>
        <v>115</v>
      </c>
      <c r="R35" s="292">
        <v>102</v>
      </c>
      <c r="S35" s="456">
        <v>108</v>
      </c>
      <c r="T35" s="414">
        <v>110</v>
      </c>
      <c r="U35" s="528">
        <v>119</v>
      </c>
      <c r="V35" s="566">
        <v>120</v>
      </c>
    </row>
    <row r="36" spans="2:22" s="30" customFormat="1" ht="18.75" x14ac:dyDescent="0.3">
      <c r="B36" s="292"/>
      <c r="C36" s="566"/>
      <c r="D36" s="522" t="str">
        <f t="shared" si="0"/>
        <v xml:space="preserve"> </v>
      </c>
      <c r="E36" s="252" t="str">
        <f t="shared" si="1"/>
        <v xml:space="preserve"> </v>
      </c>
      <c r="F36" s="252" t="str">
        <f t="shared" si="2"/>
        <v xml:space="preserve"> </v>
      </c>
      <c r="G36" s="252" t="str">
        <f t="shared" si="3"/>
        <v xml:space="preserve"> </v>
      </c>
      <c r="H36" s="252" t="str">
        <f t="shared" si="4"/>
        <v xml:space="preserve"> </v>
      </c>
      <c r="I36" s="252" t="str">
        <f t="shared" si="5"/>
        <v xml:space="preserve"> </v>
      </c>
      <c r="L36" s="292">
        <f t="shared" ca="1" si="6"/>
        <v>101</v>
      </c>
      <c r="M36" s="456">
        <f t="shared" ca="1" si="7"/>
        <v>101</v>
      </c>
      <c r="N36" s="414">
        <f t="shared" ca="1" si="8"/>
        <v>108</v>
      </c>
      <c r="O36" s="528">
        <f t="shared" ca="1" si="9"/>
        <v>116</v>
      </c>
      <c r="P36" s="566">
        <f t="shared" ca="1" si="10"/>
        <v>115</v>
      </c>
      <c r="R36" s="292">
        <v>103</v>
      </c>
      <c r="S36" s="456">
        <v>108</v>
      </c>
      <c r="T36" s="414">
        <v>109</v>
      </c>
      <c r="U36" s="528">
        <v>120</v>
      </c>
      <c r="V36" s="566">
        <v>123</v>
      </c>
    </row>
    <row r="37" spans="2:22" s="30" customFormat="1" ht="18.75" x14ac:dyDescent="0.3">
      <c r="B37" s="292"/>
      <c r="C37" s="566"/>
      <c r="D37" s="522" t="str">
        <f t="shared" si="0"/>
        <v xml:space="preserve"> </v>
      </c>
      <c r="E37" s="252" t="str">
        <f t="shared" si="1"/>
        <v xml:space="preserve"> </v>
      </c>
      <c r="F37" s="252" t="str">
        <f t="shared" si="2"/>
        <v xml:space="preserve"> </v>
      </c>
      <c r="G37" s="252" t="str">
        <f t="shared" si="3"/>
        <v xml:space="preserve"> </v>
      </c>
      <c r="H37" s="252" t="str">
        <f t="shared" si="4"/>
        <v xml:space="preserve"> </v>
      </c>
      <c r="I37" s="252" t="str">
        <f t="shared" si="5"/>
        <v xml:space="preserve"> </v>
      </c>
      <c r="L37" s="292">
        <f t="shared" ca="1" si="6"/>
        <v>96</v>
      </c>
      <c r="M37" s="456">
        <f t="shared" ca="1" si="7"/>
        <v>101</v>
      </c>
      <c r="N37" s="414">
        <f t="shared" ca="1" si="8"/>
        <v>110</v>
      </c>
      <c r="O37" s="528">
        <f t="shared" ca="1" si="9"/>
        <v>120</v>
      </c>
      <c r="P37" s="566">
        <f t="shared" ca="1" si="10"/>
        <v>119</v>
      </c>
      <c r="R37" s="292">
        <v>103</v>
      </c>
      <c r="S37" s="456">
        <v>108</v>
      </c>
      <c r="T37" s="414">
        <v>110</v>
      </c>
      <c r="U37" s="528">
        <v>112</v>
      </c>
      <c r="V37" s="566">
        <v>117</v>
      </c>
    </row>
    <row r="38" spans="2:22" s="30" customFormat="1" ht="18.75" x14ac:dyDescent="0.3">
      <c r="B38" s="292"/>
      <c r="C38" s="566"/>
      <c r="D38" s="522" t="str">
        <f t="shared" si="0"/>
        <v xml:space="preserve"> </v>
      </c>
      <c r="E38" s="252" t="str">
        <f t="shared" si="1"/>
        <v xml:space="preserve"> </v>
      </c>
      <c r="F38" s="252" t="str">
        <f t="shared" si="2"/>
        <v xml:space="preserve"> </v>
      </c>
      <c r="G38" s="252" t="str">
        <f t="shared" si="3"/>
        <v xml:space="preserve"> </v>
      </c>
      <c r="H38" s="252" t="str">
        <f t="shared" si="4"/>
        <v xml:space="preserve"> </v>
      </c>
      <c r="I38" s="252" t="str">
        <f t="shared" si="5"/>
        <v xml:space="preserve"> </v>
      </c>
      <c r="L38" s="292">
        <f t="shared" ca="1" si="6"/>
        <v>102</v>
      </c>
      <c r="M38" s="456">
        <f t="shared" ca="1" si="7"/>
        <v>110</v>
      </c>
      <c r="N38" s="414">
        <f t="shared" ca="1" si="8"/>
        <v>108</v>
      </c>
      <c r="O38" s="528">
        <f t="shared" ca="1" si="9"/>
        <v>110</v>
      </c>
      <c r="P38" s="566">
        <f t="shared" ca="1" si="10"/>
        <v>125</v>
      </c>
      <c r="R38" s="292">
        <v>95</v>
      </c>
      <c r="S38" s="456">
        <v>109</v>
      </c>
      <c r="T38" s="414">
        <v>107</v>
      </c>
      <c r="U38" s="528">
        <v>120</v>
      </c>
      <c r="V38" s="566">
        <v>123</v>
      </c>
    </row>
    <row r="39" spans="2:22" s="30" customFormat="1" ht="18.75" x14ac:dyDescent="0.3">
      <c r="B39" s="292"/>
      <c r="C39" s="566"/>
      <c r="D39" s="522" t="str">
        <f t="shared" si="0"/>
        <v xml:space="preserve"> </v>
      </c>
      <c r="E39" s="252" t="str">
        <f t="shared" si="1"/>
        <v xml:space="preserve"> </v>
      </c>
      <c r="F39" s="252" t="str">
        <f t="shared" si="2"/>
        <v xml:space="preserve"> </v>
      </c>
      <c r="G39" s="252" t="str">
        <f t="shared" si="3"/>
        <v xml:space="preserve"> </v>
      </c>
      <c r="H39" s="252" t="str">
        <f t="shared" si="4"/>
        <v xml:space="preserve"> </v>
      </c>
      <c r="I39" s="252" t="str">
        <f t="shared" si="5"/>
        <v xml:space="preserve"> </v>
      </c>
      <c r="J39" s="526"/>
      <c r="K39" s="407"/>
      <c r="L39" s="292">
        <f t="shared" ca="1" si="6"/>
        <v>101</v>
      </c>
      <c r="M39" s="456">
        <f t="shared" ca="1" si="7"/>
        <v>103</v>
      </c>
      <c r="N39" s="414">
        <f t="shared" ca="1" si="8"/>
        <v>113</v>
      </c>
      <c r="O39" s="528">
        <f t="shared" ca="1" si="9"/>
        <v>111</v>
      </c>
      <c r="P39" s="566">
        <f t="shared" ca="1" si="10"/>
        <v>121</v>
      </c>
      <c r="R39" s="292">
        <v>96</v>
      </c>
      <c r="S39" s="456">
        <v>109</v>
      </c>
      <c r="T39" s="414">
        <v>105</v>
      </c>
      <c r="U39" s="528">
        <v>114</v>
      </c>
      <c r="V39" s="566">
        <v>123</v>
      </c>
    </row>
    <row r="40" spans="2:22" s="30" customFormat="1" ht="18.75" x14ac:dyDescent="0.3">
      <c r="B40" s="292"/>
      <c r="C40" s="566"/>
      <c r="D40" s="522" t="str">
        <f t="shared" si="0"/>
        <v xml:space="preserve"> </v>
      </c>
      <c r="E40" s="252" t="str">
        <f t="shared" si="1"/>
        <v xml:space="preserve"> </v>
      </c>
      <c r="F40" s="252" t="str">
        <f t="shared" si="2"/>
        <v xml:space="preserve"> </v>
      </c>
      <c r="G40" s="252" t="str">
        <f t="shared" si="3"/>
        <v xml:space="preserve"> </v>
      </c>
      <c r="H40" s="252" t="str">
        <f t="shared" si="4"/>
        <v xml:space="preserve"> </v>
      </c>
      <c r="I40" s="252" t="str">
        <f t="shared" si="5"/>
        <v xml:space="preserve"> </v>
      </c>
      <c r="L40" s="292">
        <f t="shared" ca="1" si="6"/>
        <v>103</v>
      </c>
      <c r="M40" s="456">
        <f t="shared" ca="1" si="7"/>
        <v>102</v>
      </c>
      <c r="N40" s="414">
        <f t="shared" ca="1" si="8"/>
        <v>115</v>
      </c>
      <c r="O40" s="528">
        <f t="shared" ca="1" si="9"/>
        <v>113</v>
      </c>
      <c r="P40" s="566">
        <f t="shared" ca="1" si="10"/>
        <v>125</v>
      </c>
      <c r="R40" s="292">
        <v>97</v>
      </c>
      <c r="S40" s="456">
        <v>110</v>
      </c>
      <c r="T40" s="414">
        <v>112</v>
      </c>
      <c r="U40" s="528">
        <v>115</v>
      </c>
      <c r="V40" s="566">
        <v>122</v>
      </c>
    </row>
    <row r="41" spans="2:22" s="30" customFormat="1" ht="18.75" x14ac:dyDescent="0.3">
      <c r="B41" s="292"/>
      <c r="C41" s="566"/>
      <c r="D41" s="522" t="str">
        <f t="shared" si="0"/>
        <v xml:space="preserve"> </v>
      </c>
      <c r="E41" s="252" t="str">
        <f t="shared" si="1"/>
        <v xml:space="preserve"> </v>
      </c>
      <c r="F41" s="252" t="str">
        <f t="shared" si="2"/>
        <v xml:space="preserve"> </v>
      </c>
      <c r="G41" s="252" t="str">
        <f t="shared" si="3"/>
        <v xml:space="preserve"> </v>
      </c>
      <c r="H41" s="252" t="str">
        <f t="shared" si="4"/>
        <v xml:space="preserve"> </v>
      </c>
      <c r="I41" s="252" t="str">
        <f t="shared" si="5"/>
        <v xml:space="preserve"> </v>
      </c>
      <c r="L41" s="292">
        <f t="shared" ca="1" si="6"/>
        <v>100</v>
      </c>
      <c r="M41" s="456">
        <f t="shared" ca="1" si="7"/>
        <v>105</v>
      </c>
      <c r="N41" s="414">
        <f t="shared" ca="1" si="8"/>
        <v>114</v>
      </c>
      <c r="O41" s="528">
        <f t="shared" ca="1" si="9"/>
        <v>110</v>
      </c>
      <c r="P41" s="566">
        <f t="shared" ca="1" si="10"/>
        <v>116</v>
      </c>
      <c r="R41" s="292">
        <v>100</v>
      </c>
      <c r="S41" s="456">
        <v>110</v>
      </c>
      <c r="T41" s="414">
        <v>107</v>
      </c>
      <c r="U41" s="528">
        <v>118</v>
      </c>
      <c r="V41" s="566">
        <v>115</v>
      </c>
    </row>
    <row r="42" spans="2:22" ht="18.75" x14ac:dyDescent="0.3">
      <c r="B42" s="292"/>
      <c r="C42" s="566"/>
      <c r="D42" s="522" t="str">
        <f t="shared" si="0"/>
        <v xml:space="preserve"> </v>
      </c>
      <c r="E42" s="252" t="str">
        <f t="shared" si="1"/>
        <v xml:space="preserve"> </v>
      </c>
      <c r="F42" s="252" t="str">
        <f t="shared" si="2"/>
        <v xml:space="preserve"> </v>
      </c>
      <c r="G42" s="252" t="str">
        <f t="shared" si="3"/>
        <v xml:space="preserve"> </v>
      </c>
      <c r="H42" s="252" t="str">
        <f t="shared" si="4"/>
        <v xml:space="preserve"> </v>
      </c>
      <c r="I42" s="252" t="str">
        <f t="shared" si="5"/>
        <v xml:space="preserve"> </v>
      </c>
      <c r="J42" s="185"/>
      <c r="L42" s="292">
        <f t="shared" ca="1" si="6"/>
        <v>99</v>
      </c>
      <c r="M42" s="456">
        <f t="shared" ca="1" si="7"/>
        <v>100</v>
      </c>
      <c r="N42" s="414">
        <f t="shared" ca="1" si="8"/>
        <v>112</v>
      </c>
      <c r="O42" s="528">
        <f t="shared" ca="1" si="9"/>
        <v>112</v>
      </c>
      <c r="P42" s="566">
        <f t="shared" ca="1" si="10"/>
        <v>125</v>
      </c>
      <c r="R42" s="292">
        <v>101</v>
      </c>
      <c r="S42" s="456">
        <v>110</v>
      </c>
      <c r="T42" s="414">
        <v>108</v>
      </c>
      <c r="U42" s="528">
        <v>115</v>
      </c>
      <c r="V42" s="566">
        <v>123</v>
      </c>
    </row>
    <row r="43" spans="2:22" ht="18.75" customHeight="1" x14ac:dyDescent="0.3">
      <c r="B43" s="292"/>
      <c r="C43" s="566"/>
      <c r="D43" s="522" t="str">
        <f t="shared" si="0"/>
        <v xml:space="preserve"> </v>
      </c>
      <c r="E43" s="252" t="str">
        <f t="shared" si="1"/>
        <v xml:space="preserve"> </v>
      </c>
      <c r="F43" s="252" t="str">
        <f t="shared" si="2"/>
        <v xml:space="preserve"> </v>
      </c>
      <c r="G43" s="252" t="str">
        <f t="shared" si="3"/>
        <v xml:space="preserve"> </v>
      </c>
      <c r="H43" s="252" t="str">
        <f t="shared" si="4"/>
        <v xml:space="preserve"> </v>
      </c>
      <c r="I43" s="252" t="str">
        <f t="shared" si="5"/>
        <v xml:space="preserve"> </v>
      </c>
      <c r="J43" s="523"/>
      <c r="L43" s="292">
        <f t="shared" ca="1" si="6"/>
        <v>95</v>
      </c>
      <c r="M43" s="456">
        <f t="shared" ca="1" si="7"/>
        <v>107</v>
      </c>
      <c r="N43" s="414">
        <f t="shared" ca="1" si="8"/>
        <v>112</v>
      </c>
      <c r="O43" s="528">
        <f t="shared" ca="1" si="9"/>
        <v>116</v>
      </c>
      <c r="P43" s="566">
        <f t="shared" ca="1" si="10"/>
        <v>123</v>
      </c>
      <c r="R43" s="292">
        <v>103</v>
      </c>
      <c r="S43" s="456">
        <v>110</v>
      </c>
      <c r="T43" s="414">
        <v>105</v>
      </c>
      <c r="U43" s="528">
        <v>113</v>
      </c>
      <c r="V43" s="566">
        <v>118</v>
      </c>
    </row>
    <row r="44" spans="2:22" ht="18.75" x14ac:dyDescent="0.3">
      <c r="B44" s="30"/>
      <c r="C44" s="30"/>
      <c r="D44" s="522"/>
      <c r="E44" s="252"/>
      <c r="F44" s="252"/>
      <c r="G44" s="252"/>
      <c r="H44" s="252"/>
      <c r="I44" s="252"/>
      <c r="J44" s="523"/>
      <c r="L44" s="292"/>
      <c r="M44" s="456"/>
      <c r="N44" s="414"/>
      <c r="O44" s="528"/>
      <c r="P44" s="567"/>
    </row>
    <row r="45" spans="2:22" ht="18.75" x14ac:dyDescent="0.3">
      <c r="B45" s="284">
        <f>COUNT(B4:B43)</f>
        <v>16</v>
      </c>
      <c r="C45" s="284">
        <f t="shared" ref="C45" si="15">COUNT(C4:C43)</f>
        <v>16</v>
      </c>
      <c r="D45" s="284">
        <f>B45 + C45</f>
        <v>32</v>
      </c>
      <c r="E45" s="284"/>
      <c r="F45" s="284"/>
      <c r="G45" s="284"/>
      <c r="H45" s="284">
        <f t="shared" ref="H45:I45" si="16">COUNT(H4:H43)</f>
        <v>16</v>
      </c>
      <c r="I45" s="284">
        <f t="shared" si="16"/>
        <v>16</v>
      </c>
      <c r="J45" s="525"/>
      <c r="L45" s="561">
        <f ca="1">AVERAGE(L4:L43)</f>
        <v>99.674999999999997</v>
      </c>
      <c r="M45" s="562">
        <f t="shared" ref="M45:P45" ca="1" si="17">AVERAGE(M4:M43)</f>
        <v>104.675</v>
      </c>
      <c r="N45" s="563">
        <f t="shared" ca="1" si="17"/>
        <v>110.05</v>
      </c>
      <c r="O45" s="564">
        <f t="shared" ca="1" si="17"/>
        <v>114.5</v>
      </c>
      <c r="P45" s="568">
        <f t="shared" ca="1" si="17"/>
        <v>120.72499999999999</v>
      </c>
    </row>
    <row r="46" spans="2:22" ht="18.75" x14ac:dyDescent="0.3">
      <c r="B46" s="569">
        <f>SUM(B4:B43)</f>
        <v>56</v>
      </c>
      <c r="C46" s="569">
        <f>SUM(C4:C43)</f>
        <v>56</v>
      </c>
      <c r="D46" s="569">
        <f>SUM(D4:D43)</f>
        <v>112</v>
      </c>
      <c r="E46" s="569"/>
      <c r="F46" s="569">
        <f>SUM(F4:F43)</f>
        <v>81.484980570858426</v>
      </c>
      <c r="G46" s="569">
        <f>SUM(G4:G43)</f>
        <v>83.819431289564619</v>
      </c>
      <c r="H46" s="569">
        <f>SUM(H4:H43)</f>
        <v>229.60116979553402</v>
      </c>
      <c r="I46" s="565">
        <f>SUM(I4:I43)</f>
        <v>2.734256429844665</v>
      </c>
    </row>
    <row r="47" spans="2:22" ht="18.75" x14ac:dyDescent="0.3">
      <c r="B47" s="565">
        <f>LN(B46)</f>
        <v>4.0253516907351496</v>
      </c>
      <c r="C47" s="565">
        <f t="shared" ref="C47:D47" si="18">LN(C46)</f>
        <v>4.0253516907351496</v>
      </c>
      <c r="D47" s="565">
        <f t="shared" si="18"/>
        <v>4.7184988712950942</v>
      </c>
      <c r="E47" s="24"/>
      <c r="F47" s="26"/>
      <c r="G47" s="30"/>
      <c r="H47" s="526" t="s">
        <v>23</v>
      </c>
      <c r="I47" s="529">
        <f>I45 - 1</f>
        <v>15</v>
      </c>
    </row>
    <row r="48" spans="2:22" ht="18.75" x14ac:dyDescent="0.3">
      <c r="B48" s="30"/>
      <c r="C48" s="30"/>
      <c r="D48" s="30"/>
      <c r="E48" s="30"/>
      <c r="F48" s="30"/>
      <c r="G48" s="30"/>
      <c r="H48" s="30"/>
      <c r="I48" s="30"/>
    </row>
    <row r="49" spans="2:13" ht="18.75" x14ac:dyDescent="0.3">
      <c r="B49" s="25">
        <v>1</v>
      </c>
      <c r="C49" s="39">
        <f>SUM(F4:G43)</f>
        <v>165.30441186042304</v>
      </c>
      <c r="D49" s="33" t="s">
        <v>162</v>
      </c>
      <c r="E49" s="30"/>
      <c r="F49" s="30"/>
      <c r="G49" s="56"/>
      <c r="H49" s="110"/>
      <c r="I49" s="110"/>
      <c r="L49" s="569">
        <f ca="1">SUM(L4:L43)</f>
        <v>3987</v>
      </c>
      <c r="M49" s="569">
        <f>SUM(C4:C44)</f>
        <v>56</v>
      </c>
    </row>
    <row r="50" spans="2:13" ht="18.75" x14ac:dyDescent="0.3">
      <c r="B50" s="25">
        <v>2</v>
      </c>
      <c r="C50" s="39">
        <f>SUM(H4:H43)</f>
        <v>229.60116979553402</v>
      </c>
      <c r="D50" s="33" t="s">
        <v>163</v>
      </c>
      <c r="E50" s="30"/>
      <c r="F50" s="30"/>
      <c r="G50" s="56"/>
      <c r="H50" s="35"/>
      <c r="I50" s="35"/>
      <c r="L50">
        <f>LN(B46)</f>
        <v>4.0253516907351496</v>
      </c>
      <c r="M50">
        <f>LN(C46)</f>
        <v>4.0253516907351496</v>
      </c>
    </row>
    <row r="51" spans="2:13" s="30" customFormat="1" ht="18.75" x14ac:dyDescent="0.3">
      <c r="B51" s="25">
        <v>3</v>
      </c>
      <c r="C51" s="570">
        <f>((B46*LN(B46)) + (C46*LN(C46)))</f>
        <v>450.83938936233676</v>
      </c>
      <c r="D51" s="33" t="s">
        <v>164</v>
      </c>
      <c r="G51" s="524"/>
      <c r="H51" s="525"/>
      <c r="I51" s="525"/>
      <c r="L51" s="30">
        <f ca="1">L49*L50</f>
        <v>16049.077190961041</v>
      </c>
      <c r="M51" s="30">
        <f>M49*M50</f>
        <v>225.41969468116838</v>
      </c>
    </row>
    <row r="52" spans="2:13" s="30" customFormat="1" ht="18.75" x14ac:dyDescent="0.3">
      <c r="B52" s="25">
        <v>4</v>
      </c>
      <c r="C52" s="39">
        <f>D46*LN(D46)</f>
        <v>528.4718735850505</v>
      </c>
      <c r="D52" s="33" t="s">
        <v>163</v>
      </c>
    </row>
    <row r="53" spans="2:13" s="30" customFormat="1" ht="18.75" x14ac:dyDescent="0.3">
      <c r="B53" s="25">
        <v>5</v>
      </c>
      <c r="C53" s="37">
        <f>2*(C49 - C50 - C51 + C52)</f>
        <v>26.671452575205649</v>
      </c>
      <c r="D53" s="406" t="s">
        <v>297</v>
      </c>
      <c r="E53" s="33" t="s">
        <v>566</v>
      </c>
    </row>
    <row r="54" spans="2:13" s="30" customFormat="1" ht="18.75" x14ac:dyDescent="0.3">
      <c r="B54" s="25">
        <v>6</v>
      </c>
      <c r="C54" s="161">
        <f>1 + ((E54*F54)/G54)</f>
        <v>1.0908442619472032</v>
      </c>
      <c r="D54" s="33" t="s">
        <v>323</v>
      </c>
      <c r="E54" s="111">
        <f>(D46*I46) - 1</f>
        <v>305.23672014260251</v>
      </c>
      <c r="F54" s="111">
        <f>(D46*(1/B46 + 1/C46)) - 1</f>
        <v>3</v>
      </c>
      <c r="G54" s="145">
        <f xml:space="preserve"> 6*D46*(2-1)*(I45 - 1)</f>
        <v>10080</v>
      </c>
      <c r="H54" s="178" t="s">
        <v>536</v>
      </c>
    </row>
    <row r="55" spans="2:13" s="30" customFormat="1" ht="18.75" x14ac:dyDescent="0.3">
      <c r="B55" s="23"/>
      <c r="C55" s="37">
        <f>C53/C54</f>
        <v>24.450284523288392</v>
      </c>
      <c r="D55" s="590" t="s">
        <v>564</v>
      </c>
      <c r="E55" s="591"/>
      <c r="F55"/>
      <c r="G55"/>
      <c r="H55"/>
      <c r="I55"/>
    </row>
    <row r="56" spans="2:13" s="30" customFormat="1" ht="18.75" x14ac:dyDescent="0.3">
      <c r="B56"/>
      <c r="C56"/>
      <c r="D56"/>
      <c r="E56"/>
      <c r="F56"/>
      <c r="G56"/>
      <c r="H56"/>
      <c r="I56"/>
    </row>
    <row r="57" spans="2:13" s="30" customFormat="1" ht="18.75" x14ac:dyDescent="0.3">
      <c r="B57" s="25" t="s">
        <v>299</v>
      </c>
    </row>
    <row r="58" spans="2:13" s="30" customFormat="1" ht="18.75" x14ac:dyDescent="0.3">
      <c r="C58" s="30" t="s">
        <v>367</v>
      </c>
    </row>
    <row r="59" spans="2:13" ht="18.75" x14ac:dyDescent="0.3">
      <c r="B59" s="30"/>
      <c r="C59" s="30"/>
      <c r="D59" s="30" t="s">
        <v>560</v>
      </c>
      <c r="E59" s="30"/>
      <c r="F59" s="30"/>
      <c r="G59" s="30"/>
      <c r="H59" s="30"/>
      <c r="I59" s="30"/>
    </row>
    <row r="60" spans="2:13" ht="18.75" x14ac:dyDescent="0.3">
      <c r="B60" s="30"/>
      <c r="C60" s="30"/>
      <c r="D60" s="30" t="s">
        <v>563</v>
      </c>
      <c r="E60" s="30"/>
      <c r="F60" s="30"/>
      <c r="G60" s="30"/>
      <c r="H60" s="30"/>
      <c r="I60" s="30"/>
    </row>
    <row r="61" spans="2:13" ht="18.75" x14ac:dyDescent="0.3">
      <c r="B61" s="30"/>
      <c r="C61" s="30" t="s">
        <v>561</v>
      </c>
      <c r="D61" s="30"/>
      <c r="E61" s="30"/>
      <c r="F61" s="30"/>
      <c r="G61" s="30"/>
      <c r="H61" s="30"/>
      <c r="I61" s="30"/>
    </row>
    <row r="62" spans="2:13" ht="18.75" x14ac:dyDescent="0.3">
      <c r="B62" s="30"/>
      <c r="C62" s="30"/>
      <c r="D62" s="30"/>
      <c r="E62" s="30"/>
      <c r="F62" s="30"/>
      <c r="G62" s="30"/>
      <c r="H62" s="30"/>
      <c r="I62" s="30"/>
    </row>
    <row r="63" spans="2:13" ht="18.75" x14ac:dyDescent="0.3">
      <c r="B63" s="30"/>
      <c r="C63" s="30" t="s">
        <v>553</v>
      </c>
      <c r="D63" s="30"/>
      <c r="E63" s="30"/>
      <c r="F63" s="30"/>
      <c r="G63" s="30"/>
      <c r="H63" s="30"/>
      <c r="I63" s="30"/>
    </row>
    <row r="64" spans="2:13" ht="18.75" x14ac:dyDescent="0.3">
      <c r="B64" s="30"/>
      <c r="C64" s="30"/>
      <c r="D64" s="30" t="s">
        <v>322</v>
      </c>
      <c r="E64" s="30"/>
      <c r="F64" s="30"/>
      <c r="G64" s="30"/>
      <c r="H64" s="30"/>
      <c r="I64" s="30"/>
    </row>
    <row r="65" spans="2:9" ht="18.75" x14ac:dyDescent="0.3">
      <c r="B65" s="30"/>
      <c r="C65" s="30"/>
      <c r="D65" s="30" t="s">
        <v>366</v>
      </c>
      <c r="E65" s="30"/>
      <c r="F65" s="30"/>
      <c r="G65" s="30"/>
      <c r="H65" s="30"/>
      <c r="I65" s="30"/>
    </row>
  </sheetData>
  <sortState xmlns:xlrd2="http://schemas.microsoft.com/office/spreadsheetml/2017/richdata2" ref="R4:V43">
    <sortCondition ref="S4:S43"/>
  </sortState>
  <mergeCells count="2">
    <mergeCell ref="B2:N2"/>
    <mergeCell ref="D55:E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3933F-DFB7-4E40-A5B2-EEB8DEF428F8}">
  <sheetPr>
    <tabColor rgb="FFFFC000"/>
  </sheetPr>
  <dimension ref="B1:O102"/>
  <sheetViews>
    <sheetView workbookViewId="0">
      <pane ySplit="2" topLeftCell="A3" activePane="bottomLeft" state="frozen"/>
      <selection pane="bottomLeft" activeCell="I44" sqref="I44"/>
    </sheetView>
  </sheetViews>
  <sheetFormatPr defaultRowHeight="15" x14ac:dyDescent="0.25"/>
  <cols>
    <col min="1" max="1" width="2.7109375" customWidth="1"/>
  </cols>
  <sheetData>
    <row r="1" spans="2:15" s="30" customFormat="1" ht="18.75" x14ac:dyDescent="0.3">
      <c r="B1" s="259" t="s">
        <v>245</v>
      </c>
      <c r="C1" s="259"/>
      <c r="D1" s="259"/>
      <c r="E1" s="259"/>
      <c r="F1" s="259"/>
      <c r="G1" s="259"/>
      <c r="H1" s="259"/>
      <c r="I1" s="259"/>
      <c r="J1" s="259"/>
      <c r="K1" s="405"/>
      <c r="L1" s="405"/>
      <c r="M1" s="405"/>
      <c r="N1" s="258"/>
      <c r="O1" s="258"/>
    </row>
    <row r="2" spans="2:15" s="3" customFormat="1" ht="21" x14ac:dyDescent="0.35">
      <c r="B2" s="516" t="s">
        <v>0</v>
      </c>
      <c r="C2" s="517" t="s">
        <v>302</v>
      </c>
      <c r="D2" s="516" t="s">
        <v>382</v>
      </c>
    </row>
    <row r="3" spans="2:15" s="429" customFormat="1" ht="15" customHeight="1" x14ac:dyDescent="0.25">
      <c r="B3" s="145">
        <v>1</v>
      </c>
      <c r="C3" s="252">
        <f>LN(B3)</f>
        <v>0</v>
      </c>
      <c r="D3" s="457">
        <f>B3*C3</f>
        <v>0</v>
      </c>
    </row>
    <row r="4" spans="2:15" s="178" customFormat="1" ht="15" customHeight="1" x14ac:dyDescent="0.25">
      <c r="B4" s="145">
        <f>B3+1</f>
        <v>2</v>
      </c>
      <c r="C4" s="252">
        <f t="shared" ref="C4:C32" si="0">LN(B4)</f>
        <v>0.69314718055994529</v>
      </c>
      <c r="D4" s="457">
        <f t="shared" ref="D4:D32" si="1">B4*C4</f>
        <v>1.3862943611198906</v>
      </c>
    </row>
    <row r="5" spans="2:15" s="178" customFormat="1" ht="15" customHeight="1" x14ac:dyDescent="0.25">
      <c r="B5" s="145">
        <f t="shared" ref="B5:B32" si="2">B4+1</f>
        <v>3</v>
      </c>
      <c r="C5" s="252">
        <f t="shared" si="0"/>
        <v>1.0986122886681098</v>
      </c>
      <c r="D5" s="457">
        <f t="shared" si="1"/>
        <v>3.2958368660043291</v>
      </c>
    </row>
    <row r="6" spans="2:15" s="178" customFormat="1" ht="15" customHeight="1" x14ac:dyDescent="0.25">
      <c r="B6" s="145">
        <f t="shared" si="2"/>
        <v>4</v>
      </c>
      <c r="C6" s="252">
        <f t="shared" si="0"/>
        <v>1.3862943611198906</v>
      </c>
      <c r="D6" s="457">
        <f t="shared" si="1"/>
        <v>5.5451774444795623</v>
      </c>
    </row>
    <row r="7" spans="2:15" s="178" customFormat="1" ht="15" customHeight="1" x14ac:dyDescent="0.25">
      <c r="B7" s="145">
        <f t="shared" si="2"/>
        <v>5</v>
      </c>
      <c r="C7" s="252">
        <f t="shared" si="0"/>
        <v>1.6094379124341003</v>
      </c>
      <c r="D7" s="457">
        <f t="shared" si="1"/>
        <v>8.0471895621705016</v>
      </c>
    </row>
    <row r="8" spans="2:15" s="178" customFormat="1" ht="15" customHeight="1" x14ac:dyDescent="0.25">
      <c r="B8" s="145">
        <f t="shared" si="2"/>
        <v>6</v>
      </c>
      <c r="C8" s="252">
        <f t="shared" si="0"/>
        <v>1.791759469228055</v>
      </c>
      <c r="D8" s="457">
        <f t="shared" si="1"/>
        <v>10.750556815368331</v>
      </c>
    </row>
    <row r="9" spans="2:15" s="178" customFormat="1" ht="15" customHeight="1" x14ac:dyDescent="0.25">
      <c r="B9" s="145">
        <f t="shared" si="2"/>
        <v>7</v>
      </c>
      <c r="C9" s="252">
        <f t="shared" si="0"/>
        <v>1.9459101490553132</v>
      </c>
      <c r="D9" s="457">
        <f t="shared" si="1"/>
        <v>13.621371043387192</v>
      </c>
    </row>
    <row r="10" spans="2:15" s="178" customFormat="1" ht="15" customHeight="1" x14ac:dyDescent="0.25">
      <c r="B10" s="145">
        <f t="shared" si="2"/>
        <v>8</v>
      </c>
      <c r="C10" s="252">
        <f t="shared" si="0"/>
        <v>2.0794415416798357</v>
      </c>
      <c r="D10" s="457">
        <f t="shared" si="1"/>
        <v>16.635532333438686</v>
      </c>
    </row>
    <row r="11" spans="2:15" s="178" customFormat="1" ht="15" customHeight="1" x14ac:dyDescent="0.25">
      <c r="B11" s="145">
        <f t="shared" si="2"/>
        <v>9</v>
      </c>
      <c r="C11" s="252">
        <f t="shared" si="0"/>
        <v>2.1972245773362196</v>
      </c>
      <c r="D11" s="457">
        <f t="shared" si="1"/>
        <v>19.775021196025975</v>
      </c>
    </row>
    <row r="12" spans="2:15" s="178" customFormat="1" ht="15" customHeight="1" x14ac:dyDescent="0.25">
      <c r="B12" s="145">
        <f t="shared" si="2"/>
        <v>10</v>
      </c>
      <c r="C12" s="252">
        <f t="shared" si="0"/>
        <v>2.3025850929940459</v>
      </c>
      <c r="D12" s="457">
        <f t="shared" si="1"/>
        <v>23.025850929940461</v>
      </c>
    </row>
    <row r="13" spans="2:15" s="178" customFormat="1" ht="15" customHeight="1" x14ac:dyDescent="0.25">
      <c r="B13" s="145">
        <f t="shared" si="2"/>
        <v>11</v>
      </c>
      <c r="C13" s="252">
        <f t="shared" si="0"/>
        <v>2.3978952727983707</v>
      </c>
      <c r="D13" s="457">
        <f t="shared" si="1"/>
        <v>26.376848000782076</v>
      </c>
    </row>
    <row r="14" spans="2:15" s="178" customFormat="1" ht="15" customHeight="1" x14ac:dyDescent="0.25">
      <c r="B14" s="145">
        <f t="shared" si="2"/>
        <v>12</v>
      </c>
      <c r="C14" s="252">
        <f t="shared" si="0"/>
        <v>2.4849066497880004</v>
      </c>
      <c r="D14" s="457">
        <f t="shared" si="1"/>
        <v>29.818879797456006</v>
      </c>
    </row>
    <row r="15" spans="2:15" s="178" customFormat="1" ht="15" customHeight="1" x14ac:dyDescent="0.25">
      <c r="B15" s="145">
        <f t="shared" si="2"/>
        <v>13</v>
      </c>
      <c r="C15" s="252">
        <f t="shared" si="0"/>
        <v>2.5649493574615367</v>
      </c>
      <c r="D15" s="457">
        <f t="shared" si="1"/>
        <v>33.344341646999979</v>
      </c>
    </row>
    <row r="16" spans="2:15" s="178" customFormat="1" ht="15" customHeight="1" x14ac:dyDescent="0.25">
      <c r="B16" s="145">
        <f t="shared" si="2"/>
        <v>14</v>
      </c>
      <c r="C16" s="252">
        <f t="shared" si="0"/>
        <v>2.6390573296152584</v>
      </c>
      <c r="D16" s="457">
        <f t="shared" si="1"/>
        <v>36.946802614613617</v>
      </c>
    </row>
    <row r="17" spans="2:9" s="178" customFormat="1" ht="15" customHeight="1" x14ac:dyDescent="0.25">
      <c r="B17" s="145">
        <f t="shared" si="2"/>
        <v>15</v>
      </c>
      <c r="C17" s="252">
        <f t="shared" si="0"/>
        <v>2.7080502011022101</v>
      </c>
      <c r="D17" s="457">
        <f t="shared" si="1"/>
        <v>40.620753016533151</v>
      </c>
    </row>
    <row r="18" spans="2:9" s="178" customFormat="1" ht="15" customHeight="1" x14ac:dyDescent="0.25">
      <c r="B18" s="145">
        <f t="shared" si="2"/>
        <v>16</v>
      </c>
      <c r="C18" s="252">
        <f t="shared" si="0"/>
        <v>2.7725887222397811</v>
      </c>
      <c r="D18" s="457">
        <f t="shared" si="1"/>
        <v>44.361419555836498</v>
      </c>
    </row>
    <row r="19" spans="2:9" s="178" customFormat="1" ht="15" customHeight="1" x14ac:dyDescent="0.25">
      <c r="B19" s="145">
        <f t="shared" si="2"/>
        <v>17</v>
      </c>
      <c r="C19" s="252">
        <f t="shared" si="0"/>
        <v>2.8332133440562162</v>
      </c>
      <c r="D19" s="457">
        <f t="shared" si="1"/>
        <v>48.164626848955677</v>
      </c>
    </row>
    <row r="20" spans="2:9" s="178" customFormat="1" ht="15" customHeight="1" x14ac:dyDescent="0.25">
      <c r="B20" s="145">
        <f t="shared" si="2"/>
        <v>18</v>
      </c>
      <c r="C20" s="252">
        <f t="shared" si="0"/>
        <v>2.8903717578961645</v>
      </c>
      <c r="D20" s="457">
        <f t="shared" si="1"/>
        <v>52.026691642130963</v>
      </c>
      <c r="I20" s="430"/>
    </row>
    <row r="21" spans="2:9" s="178" customFormat="1" ht="15" customHeight="1" x14ac:dyDescent="0.25">
      <c r="B21" s="145">
        <f t="shared" si="2"/>
        <v>19</v>
      </c>
      <c r="C21" s="252">
        <f t="shared" si="0"/>
        <v>2.9444389791664403</v>
      </c>
      <c r="D21" s="457">
        <f t="shared" si="1"/>
        <v>55.944340604162363</v>
      </c>
    </row>
    <row r="22" spans="2:9" s="178" customFormat="1" ht="15" customHeight="1" x14ac:dyDescent="0.25">
      <c r="B22" s="145">
        <f t="shared" si="2"/>
        <v>20</v>
      </c>
      <c r="C22" s="252">
        <f t="shared" si="0"/>
        <v>2.9957322735539909</v>
      </c>
      <c r="D22" s="457">
        <f t="shared" si="1"/>
        <v>59.914645471079815</v>
      </c>
    </row>
    <row r="23" spans="2:9" s="178" customFormat="1" ht="15" customHeight="1" x14ac:dyDescent="0.25">
      <c r="B23" s="145">
        <f t="shared" si="2"/>
        <v>21</v>
      </c>
      <c r="C23" s="252">
        <f t="shared" si="0"/>
        <v>3.044522437723423</v>
      </c>
      <c r="D23" s="457">
        <f t="shared" si="1"/>
        <v>63.934971192191881</v>
      </c>
    </row>
    <row r="24" spans="2:9" s="178" customFormat="1" ht="15" customHeight="1" x14ac:dyDescent="0.25">
      <c r="B24" s="145">
        <f t="shared" si="2"/>
        <v>22</v>
      </c>
      <c r="C24" s="252">
        <f t="shared" si="0"/>
        <v>3.0910424533583161</v>
      </c>
      <c r="D24" s="457">
        <f t="shared" si="1"/>
        <v>68.002933973882961</v>
      </c>
    </row>
    <row r="25" spans="2:9" s="178" customFormat="1" ht="15" customHeight="1" x14ac:dyDescent="0.25">
      <c r="B25" s="145">
        <f t="shared" si="2"/>
        <v>23</v>
      </c>
      <c r="C25" s="252">
        <f t="shared" si="0"/>
        <v>3.1354942159291497</v>
      </c>
      <c r="D25" s="457">
        <f t="shared" si="1"/>
        <v>72.116366966370435</v>
      </c>
    </row>
    <row r="26" spans="2:9" s="178" customFormat="1" ht="15" customHeight="1" x14ac:dyDescent="0.25">
      <c r="B26" s="145">
        <f t="shared" si="2"/>
        <v>24</v>
      </c>
      <c r="C26" s="252">
        <f t="shared" si="0"/>
        <v>3.1780538303479458</v>
      </c>
      <c r="D26" s="457">
        <f t="shared" si="1"/>
        <v>76.273291928350702</v>
      </c>
    </row>
    <row r="27" spans="2:9" s="178" customFormat="1" ht="15" customHeight="1" x14ac:dyDescent="0.25">
      <c r="B27" s="145">
        <f t="shared" si="2"/>
        <v>25</v>
      </c>
      <c r="C27" s="252">
        <f t="shared" si="0"/>
        <v>3.2188758248682006</v>
      </c>
      <c r="D27" s="457">
        <f t="shared" si="1"/>
        <v>80.471895621705016</v>
      </c>
    </row>
    <row r="28" spans="2:9" s="178" customFormat="1" ht="15" customHeight="1" x14ac:dyDescent="0.25">
      <c r="B28" s="145">
        <f t="shared" si="2"/>
        <v>26</v>
      </c>
      <c r="C28" s="252">
        <f t="shared" si="0"/>
        <v>3.2580965380214821</v>
      </c>
      <c r="D28" s="457">
        <f t="shared" si="1"/>
        <v>84.710509988558542</v>
      </c>
    </row>
    <row r="29" spans="2:9" s="178" customFormat="1" ht="15" customHeight="1" x14ac:dyDescent="0.25">
      <c r="B29" s="145">
        <f t="shared" si="2"/>
        <v>27</v>
      </c>
      <c r="C29" s="252">
        <f t="shared" si="0"/>
        <v>3.2958368660043291</v>
      </c>
      <c r="D29" s="457">
        <f t="shared" si="1"/>
        <v>88.987595382116893</v>
      </c>
    </row>
    <row r="30" spans="2:9" s="178" customFormat="1" ht="15" customHeight="1" x14ac:dyDescent="0.3">
      <c r="B30" s="145">
        <f t="shared" si="2"/>
        <v>28</v>
      </c>
      <c r="C30" s="252">
        <f t="shared" si="0"/>
        <v>3.3322045101752038</v>
      </c>
      <c r="D30" s="457">
        <f t="shared" si="1"/>
        <v>93.301726284905712</v>
      </c>
      <c r="F30" s="30" t="s">
        <v>324</v>
      </c>
      <c r="G30" s="30"/>
    </row>
    <row r="31" spans="2:9" s="178" customFormat="1" ht="15" customHeight="1" x14ac:dyDescent="0.3">
      <c r="B31" s="145">
        <f t="shared" si="2"/>
        <v>29</v>
      </c>
      <c r="C31" s="252">
        <f t="shared" si="0"/>
        <v>3.3672958299864741</v>
      </c>
      <c r="D31" s="457">
        <f t="shared" si="1"/>
        <v>97.651579069607749</v>
      </c>
      <c r="F31" s="30"/>
      <c r="G31" s="30" t="s">
        <v>319</v>
      </c>
    </row>
    <row r="32" spans="2:9" s="178" customFormat="1" ht="15" customHeight="1" x14ac:dyDescent="0.3">
      <c r="B32" s="145">
        <f t="shared" si="2"/>
        <v>30</v>
      </c>
      <c r="C32" s="252">
        <f t="shared" si="0"/>
        <v>3.4011973816621555</v>
      </c>
      <c r="D32" s="457">
        <f t="shared" si="1"/>
        <v>102.03592144986466</v>
      </c>
      <c r="G32" s="30" t="s">
        <v>303</v>
      </c>
    </row>
    <row r="33" spans="3:4" s="178" customFormat="1" ht="12" customHeight="1" x14ac:dyDescent="0.2">
      <c r="C33" s="428"/>
      <c r="D33" s="428"/>
    </row>
    <row r="34" spans="3:4" s="178" customFormat="1" ht="12" customHeight="1" x14ac:dyDescent="0.2">
      <c r="C34" s="428"/>
      <c r="D34" s="428"/>
    </row>
    <row r="35" spans="3:4" s="178" customFormat="1" ht="12" customHeight="1" x14ac:dyDescent="0.2">
      <c r="C35" s="428"/>
      <c r="D35" s="428"/>
    </row>
    <row r="36" spans="3:4" s="178" customFormat="1" ht="12" customHeight="1" x14ac:dyDescent="0.2">
      <c r="C36" s="428"/>
      <c r="D36" s="428"/>
    </row>
    <row r="37" spans="3:4" s="178" customFormat="1" ht="12" customHeight="1" x14ac:dyDescent="0.2">
      <c r="C37" s="428"/>
      <c r="D37" s="428"/>
    </row>
    <row r="38" spans="3:4" s="178" customFormat="1" ht="12" customHeight="1" x14ac:dyDescent="0.2">
      <c r="C38" s="428"/>
      <c r="D38" s="428"/>
    </row>
    <row r="39" spans="3:4" s="178" customFormat="1" ht="12" customHeight="1" x14ac:dyDescent="0.2">
      <c r="C39" s="428"/>
      <c r="D39" s="428"/>
    </row>
    <row r="40" spans="3:4" s="178" customFormat="1" ht="12" customHeight="1" x14ac:dyDescent="0.2">
      <c r="C40" s="428"/>
      <c r="D40" s="428"/>
    </row>
    <row r="41" spans="3:4" s="178" customFormat="1" ht="12" customHeight="1" x14ac:dyDescent="0.2">
      <c r="C41" s="428"/>
      <c r="D41" s="428"/>
    </row>
    <row r="42" spans="3:4" s="178" customFormat="1" ht="12" customHeight="1" x14ac:dyDescent="0.2">
      <c r="C42" s="428"/>
      <c r="D42" s="428"/>
    </row>
    <row r="43" spans="3:4" s="178" customFormat="1" ht="12" customHeight="1" x14ac:dyDescent="0.2">
      <c r="C43" s="428"/>
      <c r="D43" s="428"/>
    </row>
    <row r="44" spans="3:4" s="178" customFormat="1" ht="12" customHeight="1" x14ac:dyDescent="0.2">
      <c r="C44" s="428"/>
      <c r="D44" s="428"/>
    </row>
    <row r="45" spans="3:4" s="178" customFormat="1" ht="12" customHeight="1" x14ac:dyDescent="0.2">
      <c r="C45" s="428"/>
      <c r="D45" s="428"/>
    </row>
    <row r="46" spans="3:4" s="178" customFormat="1" ht="12" customHeight="1" x14ac:dyDescent="0.2">
      <c r="C46" s="428"/>
      <c r="D46" s="428"/>
    </row>
    <row r="47" spans="3:4" s="178" customFormat="1" ht="12" customHeight="1" x14ac:dyDescent="0.2">
      <c r="C47" s="428"/>
      <c r="D47" s="428"/>
    </row>
    <row r="48" spans="3:4" s="178" customFormat="1" ht="12" customHeight="1" x14ac:dyDescent="0.2">
      <c r="C48" s="428"/>
      <c r="D48" s="428"/>
    </row>
    <row r="49" spans="2:7" s="178" customFormat="1" ht="12" customHeight="1" x14ac:dyDescent="0.2">
      <c r="C49" s="428"/>
      <c r="D49" s="428"/>
    </row>
    <row r="50" spans="2:7" s="178" customFormat="1" ht="12" customHeight="1" x14ac:dyDescent="0.2">
      <c r="C50" s="428"/>
      <c r="D50" s="428"/>
    </row>
    <row r="51" spans="2:7" s="178" customFormat="1" ht="12" customHeight="1" x14ac:dyDescent="0.3">
      <c r="C51" s="428"/>
      <c r="D51" s="428"/>
      <c r="F51" s="30"/>
      <c r="G51" s="30"/>
    </row>
    <row r="52" spans="2:7" s="178" customFormat="1" ht="12" customHeight="1" x14ac:dyDescent="0.3">
      <c r="C52" s="428"/>
      <c r="D52" s="428"/>
      <c r="F52" s="30"/>
      <c r="G52" s="30"/>
    </row>
    <row r="53" spans="2:7" s="30" customFormat="1" ht="12" customHeight="1" x14ac:dyDescent="0.3">
      <c r="B53"/>
      <c r="C53" s="38"/>
      <c r="D53" s="38"/>
    </row>
    <row r="54" spans="2:7" s="30" customFormat="1" ht="12" customHeight="1" x14ac:dyDescent="0.3">
      <c r="B54"/>
      <c r="C54" s="38"/>
      <c r="D54" s="38"/>
      <c r="F54"/>
      <c r="G54"/>
    </row>
    <row r="55" spans="2:7" s="30" customFormat="1" ht="18.75" x14ac:dyDescent="0.3">
      <c r="B55"/>
      <c r="C55" s="38"/>
      <c r="D55" s="38"/>
      <c r="F55"/>
      <c r="G55"/>
    </row>
    <row r="56" spans="2:7" x14ac:dyDescent="0.25">
      <c r="C56" s="38"/>
      <c r="D56" s="38"/>
    </row>
    <row r="57" spans="2:7" x14ac:dyDescent="0.25">
      <c r="C57" s="38"/>
      <c r="D57" s="38"/>
    </row>
    <row r="58" spans="2:7" x14ac:dyDescent="0.25">
      <c r="C58" s="38"/>
      <c r="D58" s="38"/>
    </row>
    <row r="59" spans="2:7" x14ac:dyDescent="0.25">
      <c r="C59" s="38"/>
      <c r="D59" s="38"/>
    </row>
    <row r="60" spans="2:7" x14ac:dyDescent="0.25">
      <c r="C60" s="38"/>
      <c r="D60" s="38"/>
    </row>
    <row r="61" spans="2:7" x14ac:dyDescent="0.25">
      <c r="C61" s="38"/>
      <c r="D61" s="38"/>
    </row>
    <row r="62" spans="2:7" x14ac:dyDescent="0.25">
      <c r="C62" s="38"/>
      <c r="D62" s="38"/>
    </row>
    <row r="63" spans="2:7" x14ac:dyDescent="0.25">
      <c r="C63" s="38"/>
      <c r="D63" s="38"/>
    </row>
    <row r="64" spans="2:7" x14ac:dyDescent="0.25">
      <c r="C64" s="38"/>
      <c r="D64" s="38"/>
    </row>
    <row r="65" spans="3:4" x14ac:dyDescent="0.25">
      <c r="C65" s="38"/>
      <c r="D65" s="38"/>
    </row>
    <row r="66" spans="3:4" x14ac:dyDescent="0.25">
      <c r="C66" s="38"/>
      <c r="D66" s="38"/>
    </row>
    <row r="67" spans="3:4" x14ac:dyDescent="0.25">
      <c r="C67" s="38"/>
      <c r="D67" s="38"/>
    </row>
    <row r="68" spans="3:4" x14ac:dyDescent="0.25">
      <c r="C68" s="38"/>
      <c r="D68" s="38"/>
    </row>
    <row r="69" spans="3:4" x14ac:dyDescent="0.25">
      <c r="C69" s="38"/>
      <c r="D69" s="38"/>
    </row>
    <row r="70" spans="3:4" x14ac:dyDescent="0.25">
      <c r="C70" s="38"/>
      <c r="D70" s="38"/>
    </row>
    <row r="71" spans="3:4" x14ac:dyDescent="0.25">
      <c r="C71" s="38"/>
      <c r="D71" s="38"/>
    </row>
    <row r="72" spans="3:4" x14ac:dyDescent="0.25">
      <c r="C72" s="38"/>
      <c r="D72" s="38"/>
    </row>
    <row r="73" spans="3:4" x14ac:dyDescent="0.25">
      <c r="C73" s="38"/>
      <c r="D73" s="38"/>
    </row>
    <row r="74" spans="3:4" x14ac:dyDescent="0.25">
      <c r="C74" s="38"/>
      <c r="D74" s="38"/>
    </row>
    <row r="75" spans="3:4" x14ac:dyDescent="0.25">
      <c r="C75" s="38"/>
      <c r="D75" s="38"/>
    </row>
    <row r="76" spans="3:4" x14ac:dyDescent="0.25">
      <c r="C76" s="38"/>
      <c r="D76" s="38"/>
    </row>
    <row r="77" spans="3:4" x14ac:dyDescent="0.25">
      <c r="C77" s="38"/>
      <c r="D77" s="38"/>
    </row>
    <row r="78" spans="3:4" x14ac:dyDescent="0.25">
      <c r="C78" s="38"/>
      <c r="D78" s="38"/>
    </row>
    <row r="79" spans="3:4" x14ac:dyDescent="0.25">
      <c r="C79" s="38"/>
      <c r="D79" s="38"/>
    </row>
    <row r="80" spans="3:4" x14ac:dyDescent="0.25">
      <c r="C80" s="38"/>
      <c r="D80" s="38"/>
    </row>
    <row r="81" spans="3:4" x14ac:dyDescent="0.25">
      <c r="C81" s="38"/>
      <c r="D81" s="38"/>
    </row>
    <row r="82" spans="3:4" x14ac:dyDescent="0.25">
      <c r="C82" s="38"/>
      <c r="D82" s="38"/>
    </row>
    <row r="83" spans="3:4" x14ac:dyDescent="0.25">
      <c r="C83" s="38"/>
      <c r="D83" s="38"/>
    </row>
    <row r="84" spans="3:4" x14ac:dyDescent="0.25">
      <c r="C84" s="38"/>
      <c r="D84" s="38"/>
    </row>
    <row r="85" spans="3:4" x14ac:dyDescent="0.25">
      <c r="C85" s="38"/>
      <c r="D85" s="38"/>
    </row>
    <row r="86" spans="3:4" x14ac:dyDescent="0.25">
      <c r="C86" s="38"/>
      <c r="D86" s="38"/>
    </row>
    <row r="87" spans="3:4" x14ac:dyDescent="0.25">
      <c r="C87" s="38"/>
      <c r="D87" s="38"/>
    </row>
    <row r="88" spans="3:4" x14ac:dyDescent="0.25">
      <c r="C88" s="38"/>
      <c r="D88" s="38"/>
    </row>
    <row r="89" spans="3:4" x14ac:dyDescent="0.25">
      <c r="C89" s="38"/>
      <c r="D89" s="38"/>
    </row>
    <row r="90" spans="3:4" x14ac:dyDescent="0.25">
      <c r="C90" s="38"/>
      <c r="D90" s="38"/>
    </row>
    <row r="91" spans="3:4" x14ac:dyDescent="0.25">
      <c r="C91" s="38"/>
      <c r="D91" s="38"/>
    </row>
    <row r="92" spans="3:4" x14ac:dyDescent="0.25">
      <c r="C92" s="38"/>
      <c r="D92" s="38"/>
    </row>
    <row r="93" spans="3:4" x14ac:dyDescent="0.25">
      <c r="C93" s="38"/>
      <c r="D93" s="38"/>
    </row>
    <row r="94" spans="3:4" x14ac:dyDescent="0.25">
      <c r="C94" s="38"/>
      <c r="D94" s="38"/>
    </row>
    <row r="95" spans="3:4" x14ac:dyDescent="0.25">
      <c r="C95" s="38"/>
      <c r="D95" s="38"/>
    </row>
    <row r="96" spans="3:4" x14ac:dyDescent="0.25">
      <c r="C96" s="38"/>
      <c r="D96" s="38"/>
    </row>
    <row r="97" spans="3:4" x14ac:dyDescent="0.25">
      <c r="C97" s="38"/>
      <c r="D97" s="38"/>
    </row>
    <row r="98" spans="3:4" x14ac:dyDescent="0.25">
      <c r="C98" s="38"/>
      <c r="D98" s="38"/>
    </row>
    <row r="99" spans="3:4" x14ac:dyDescent="0.25">
      <c r="C99" s="38"/>
      <c r="D99" s="38"/>
    </row>
    <row r="100" spans="3:4" x14ac:dyDescent="0.25">
      <c r="C100" s="38"/>
      <c r="D100" s="38"/>
    </row>
    <row r="101" spans="3:4" x14ac:dyDescent="0.25">
      <c r="C101" s="38"/>
      <c r="D101" s="38"/>
    </row>
    <row r="102" spans="3:4" x14ac:dyDescent="0.25">
      <c r="C102" s="38"/>
      <c r="D102" s="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X^2 power</vt:lpstr>
      <vt:lpstr>X^2 vs G</vt:lpstr>
      <vt:lpstr>Chi-square MN data</vt:lpstr>
      <vt:lpstr>(1) Philipine MN data</vt:lpstr>
      <vt:lpstr>(2) Chi-Square ABO</vt:lpstr>
      <vt:lpstr>Critical Values of X^2</vt:lpstr>
      <vt:lpstr>(3) RxC G-test</vt:lpstr>
      <vt:lpstr>(3b) RxC G-test</vt:lpstr>
      <vt:lpstr>X vs XlnK</vt:lpstr>
      <vt:lpstr>(4) G-test A B AB O</vt:lpstr>
      <vt:lpstr>(5) A B AB O ethnic data</vt:lpstr>
      <vt:lpstr>ABO - Rh 2024 data</vt:lpstr>
      <vt:lpstr>t-test</vt:lpstr>
      <vt:lpstr>Critical Values of t</vt:lpstr>
      <vt:lpstr>F-test</vt:lpstr>
      <vt:lpstr>F-test (2)</vt:lpstr>
      <vt:lpstr>Critical Values of F</vt:lpstr>
      <vt:lpstr>Bayes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Steven M Carr</dc:creator>
  <cp:lastModifiedBy>Steven M Carr</cp:lastModifiedBy>
  <dcterms:created xsi:type="dcterms:W3CDTF">2019-10-06T22:35:26Z</dcterms:created>
  <dcterms:modified xsi:type="dcterms:W3CDTF">2025-09-18T16:21:48Z</dcterms:modified>
</cp:coreProperties>
</file>